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arti\Downloads\"/>
    </mc:Choice>
  </mc:AlternateContent>
  <xr:revisionPtr revIDLastSave="0" documentId="13_ncr:1_{BD733B2C-9D96-4A9B-8827-C6E554F1C5CF}" xr6:coauthVersionLast="47" xr6:coauthVersionMax="47" xr10:uidLastSave="{00000000-0000-0000-0000-000000000000}"/>
  <bookViews>
    <workbookView xWindow="-120" yWindow="-120" windowWidth="29040" windowHeight="15840" xr2:uid="{00000000-000D-0000-FFFF-FFFF00000000}"/>
  </bookViews>
  <sheets>
    <sheet name="Start Here" sheetId="1" r:id="rId1"/>
    <sheet name="Branding &amp; Setup" sheetId="2" r:id="rId2"/>
    <sheet name="User Guidance" sheetId="3" r:id="rId3"/>
    <sheet name="UAT Overview" sheetId="4" r:id="rId4"/>
    <sheet name="Executive Dashboard" sheetId="5" r:id="rId5"/>
    <sheet name="Operational Dashboard" sheetId="6" r:id="rId6"/>
    <sheet name="Defect &amp; Quality" sheetId="7" r:id="rId7"/>
    <sheet name="Readiness Dashboard" sheetId="8" r:id="rId8"/>
    <sheet name="UAT Plan" sheetId="9" r:id="rId9"/>
    <sheet name="Scope Register" sheetId="10" r:id="rId10"/>
    <sheet name="Tester Register" sheetId="11" r:id="rId11"/>
    <sheet name="Env Access &amp; Data" sheetId="12" r:id="rId12"/>
    <sheet name="Readiness Checklist" sheetId="13" r:id="rId13"/>
    <sheet name="Scenario Register" sheetId="14" r:id="rId14"/>
    <sheet name="Execution Tracker" sheetId="15" r:id="rId15"/>
    <sheet name="Defect Log" sheetId="16" r:id="rId16"/>
    <sheet name="Issue Log" sheetId="17" r:id="rId17"/>
    <sheet name="Risk &amp; Assumptions" sheetId="18" r:id="rId18"/>
    <sheet name="Decision Log" sheetId="19" r:id="rId19"/>
    <sheet name="Status Report Input" sheetId="20" r:id="rId20"/>
    <sheet name="Exit &amp; Sign-Off" sheetId="21" r:id="rId21"/>
    <sheet name="Lessons Learned" sheetId="22" r:id="rId22"/>
    <sheet name="About &amp; Attribution" sheetId="23" r:id="rId23"/>
    <sheet name="Lists" sheetId="24" state="hidden" r:id="rId24"/>
    <sheet name="Dashboard Data" sheetId="25" state="hidden" r:id="rId25"/>
  </sheets>
  <definedNames>
    <definedName name="_xlnm._FilterDatabase" localSheetId="18" hidden="1">'Decision Log'!$A$8:$M$18</definedName>
    <definedName name="_xlnm._FilterDatabase" localSheetId="15" hidden="1">'Defect Log'!$A$8:$X$43</definedName>
    <definedName name="_xlnm._FilterDatabase" localSheetId="11" hidden="1">'Env Access &amp; Data'!$A$8:$M$33</definedName>
    <definedName name="_xlnm._FilterDatabase" localSheetId="14" hidden="1">'Execution Tracker'!$A$8:$N$158</definedName>
    <definedName name="_xlnm._FilterDatabase" localSheetId="20" hidden="1">'Exit &amp; Sign-Off'!$A$8:$K$18</definedName>
    <definedName name="_xlnm._FilterDatabase" localSheetId="16" hidden="1">'Issue Log'!$A$8:$N$20</definedName>
    <definedName name="_xlnm._FilterDatabase" localSheetId="21" hidden="1">'Lessons Learned'!$A$8:$J$18</definedName>
    <definedName name="_xlnm._FilterDatabase" localSheetId="12" hidden="1">'Readiness Checklist'!$A$8:$M$78</definedName>
    <definedName name="_xlnm._FilterDatabase" localSheetId="17" hidden="1">'Risk &amp; Assumptions'!$A$8:$P$20</definedName>
    <definedName name="_xlnm._FilterDatabase" localSheetId="13" hidden="1">'Scenario Register'!$A$8:$Q$88</definedName>
    <definedName name="_xlnm._FilterDatabase" localSheetId="9" hidden="1">'Scope Register'!$A$8:$K$38</definedName>
    <definedName name="_xlnm._FilterDatabase" localSheetId="19" hidden="1">'Status Report Input'!$A$24:$H$28</definedName>
    <definedName name="_xlnm._FilterDatabase" localSheetId="10" hidden="1">'Tester Register'!$A$8:$O$26</definedName>
    <definedName name="_xlnm._FilterDatabase" localSheetId="8" hidden="1">'UAT Plan'!$A$8:$L$23</definedName>
    <definedName name="ActionPriority">Lists!$AC$2:$AC$4</definedName>
    <definedName name="AssignedTeams">Lists!$Z$2:$Z$7</definedName>
    <definedName name="BusinessAreas">Lists!$P$2:$P$6</definedName>
    <definedName name="ConfidenceStatus">Lists!$M$2:$M$4</definedName>
    <definedName name="DecisionStatus">Lists!$L$2:$L$4</definedName>
    <definedName name="DefectPriority">Lists!$G$2:$G$5</definedName>
    <definedName name="DefectSeverity">Lists!$F$2:$F$5</definedName>
    <definedName name="DefectStatus">Lists!$H$2:$H$6</definedName>
    <definedName name="DesignStatus">Lists!$E$2:$E$4</definedName>
    <definedName name="EnvCategories">Lists!$U$2:$U$6</definedName>
    <definedName name="ExecutionStatus">Lists!$D$2:$D$6</definedName>
    <definedName name="Forums">Lists!$AA$2:$AA$6</definedName>
    <definedName name="IssueCategories">Lists!$Y$2:$Y$9</definedName>
    <definedName name="IssueStatus">Lists!$I$2:$I$5</definedName>
    <definedName name="Owners">Lists!$S$2:$S$19</definedName>
    <definedName name="PlanStatus">Lists!$N$2:$N$5</definedName>
    <definedName name="ReadinessCategories">Lists!$T$2:$T$11</definedName>
    <definedName name="ReadinessStatus">Lists!$C$2:$C$6</definedName>
    <definedName name="RetestStatus">Lists!$X$2:$X$5</definedName>
    <definedName name="RiskRating">Lists!$W$2:$W$4</definedName>
    <definedName name="RiskStatus">Lists!$K$2:$K$4</definedName>
    <definedName name="RiskType">Lists!$J$2:$J$3</definedName>
    <definedName name="Roles">Lists!$Q$2:$Q$10</definedName>
    <definedName name="RootCauses">Lists!$AD$2:$AD$9</definedName>
    <definedName name="ScenarioPriority">Lists!$V$2:$V$5</definedName>
    <definedName name="ScopeType">Lists!$B$2:$B$4</definedName>
    <definedName name="SimpleProgress">Lists!$AB$2:$AB$4</definedName>
    <definedName name="TesterTypes">Lists!$R$2:$R$5</definedName>
    <definedName name="Waves">Lists!$O$2:$O$4</definedName>
    <definedName name="YesNo">Lists!$A$2:$A$3</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22" i="25" l="1"/>
  <c r="B21" i="25"/>
  <c r="B20" i="25"/>
  <c r="B19" i="25"/>
  <c r="V18" i="25"/>
  <c r="B18" i="25"/>
  <c r="V17" i="25"/>
  <c r="B17" i="25"/>
  <c r="V16" i="25"/>
  <c r="S16" i="25"/>
  <c r="R16" i="25"/>
  <c r="Q16" i="25"/>
  <c r="P16" i="25"/>
  <c r="V15" i="25"/>
  <c r="S15" i="25"/>
  <c r="R15" i="25"/>
  <c r="Q15" i="25"/>
  <c r="P15" i="25"/>
  <c r="B15" i="25"/>
  <c r="V14" i="25"/>
  <c r="S14" i="25"/>
  <c r="R14" i="25"/>
  <c r="Q14" i="25"/>
  <c r="P14" i="25"/>
  <c r="V13" i="25"/>
  <c r="S13" i="25"/>
  <c r="R13" i="25"/>
  <c r="Q13" i="25"/>
  <c r="P13" i="25"/>
  <c r="V12" i="25"/>
  <c r="S12" i="25"/>
  <c r="R12" i="25"/>
  <c r="Q12" i="25"/>
  <c r="P12" i="25"/>
  <c r="V11" i="25"/>
  <c r="S11" i="25"/>
  <c r="R11" i="25"/>
  <c r="Q11" i="25"/>
  <c r="P11" i="25"/>
  <c r="F11" i="25"/>
  <c r="E11" i="25"/>
  <c r="V10" i="25"/>
  <c r="S10" i="25"/>
  <c r="R10" i="25"/>
  <c r="Q10" i="25"/>
  <c r="P10" i="25"/>
  <c r="F10" i="25"/>
  <c r="E10" i="25"/>
  <c r="AP9" i="25"/>
  <c r="V9" i="25"/>
  <c r="S9" i="25"/>
  <c r="R9" i="25"/>
  <c r="Q9" i="25"/>
  <c r="P9" i="25"/>
  <c r="F9" i="25"/>
  <c r="E9" i="25"/>
  <c r="B9" i="25"/>
  <c r="AP8" i="25"/>
  <c r="V8" i="25"/>
  <c r="S8" i="25"/>
  <c r="R8" i="25"/>
  <c r="Q8" i="25"/>
  <c r="P8" i="25"/>
  <c r="F8" i="25"/>
  <c r="E8" i="25"/>
  <c r="B8" i="25"/>
  <c r="AP7" i="25"/>
  <c r="V7" i="25"/>
  <c r="S7" i="25"/>
  <c r="R7" i="25"/>
  <c r="Q7" i="25"/>
  <c r="P7" i="25"/>
  <c r="F7" i="25"/>
  <c r="E7" i="25"/>
  <c r="B7" i="25"/>
  <c r="AS6" i="25"/>
  <c r="AP6" i="25"/>
  <c r="AC6" i="25"/>
  <c r="AB6" i="25"/>
  <c r="V6" i="25"/>
  <c r="S6" i="25"/>
  <c r="R6" i="25"/>
  <c r="Q6" i="25"/>
  <c r="P6" i="25"/>
  <c r="M6" i="25"/>
  <c r="F6" i="25"/>
  <c r="E6" i="25"/>
  <c r="B6" i="25"/>
  <c r="AS5" i="25"/>
  <c r="AP5" i="25"/>
  <c r="AF5" i="25"/>
  <c r="AC5" i="25"/>
  <c r="AB5" i="25"/>
  <c r="V5" i="25"/>
  <c r="S5" i="25"/>
  <c r="R5" i="25"/>
  <c r="Q5" i="25"/>
  <c r="P5" i="25"/>
  <c r="M5" i="25"/>
  <c r="J5" i="25"/>
  <c r="I5" i="25"/>
  <c r="F5" i="25"/>
  <c r="E5" i="25"/>
  <c r="B5" i="25"/>
  <c r="AS4" i="25"/>
  <c r="AP4" i="25"/>
  <c r="AF4" i="25"/>
  <c r="AC4" i="25"/>
  <c r="AB4" i="25"/>
  <c r="V4" i="25"/>
  <c r="S4" i="25"/>
  <c r="R4" i="25"/>
  <c r="Q4" i="25"/>
  <c r="P4" i="25"/>
  <c r="M4" i="25"/>
  <c r="J4" i="25"/>
  <c r="I4" i="25"/>
  <c r="F4" i="25"/>
  <c r="E4" i="25"/>
  <c r="B4" i="25"/>
  <c r="AS3" i="25"/>
  <c r="AP3" i="25"/>
  <c r="AF3" i="25"/>
  <c r="AC3" i="25"/>
  <c r="AB3" i="25"/>
  <c r="V3" i="25"/>
  <c r="S3" i="25"/>
  <c r="R3" i="25"/>
  <c r="Q3" i="25"/>
  <c r="P3" i="25"/>
  <c r="M3" i="25"/>
  <c r="J3" i="25"/>
  <c r="I3" i="25"/>
  <c r="F3" i="25"/>
  <c r="E3" i="25"/>
  <c r="B3" i="25"/>
  <c r="AS2" i="25"/>
  <c r="AP2" i="25"/>
  <c r="AF2" i="25"/>
  <c r="AC2" i="25"/>
  <c r="AB2" i="25"/>
  <c r="V2" i="25"/>
  <c r="S2" i="25"/>
  <c r="R2" i="25"/>
  <c r="Q2" i="25"/>
  <c r="P2" i="25"/>
  <c r="M2" i="25"/>
  <c r="J2" i="25"/>
  <c r="I2" i="25"/>
  <c r="F2" i="25"/>
  <c r="E2" i="25"/>
  <c r="B1" i="25"/>
  <c r="A2" i="22"/>
  <c r="A1" i="22"/>
  <c r="K18" i="21"/>
  <c r="K17" i="21"/>
  <c r="K16" i="21"/>
  <c r="K15" i="21"/>
  <c r="K14" i="21"/>
  <c r="K13" i="21"/>
  <c r="K12" i="21"/>
  <c r="K11" i="21"/>
  <c r="K10" i="21"/>
  <c r="K9" i="21"/>
  <c r="A2" i="21"/>
  <c r="A1" i="21"/>
  <c r="A2" i="20"/>
  <c r="A1" i="20"/>
  <c r="M18" i="19"/>
  <c r="M17" i="19"/>
  <c r="M16" i="19"/>
  <c r="M15" i="19"/>
  <c r="M14" i="19"/>
  <c r="M13" i="19"/>
  <c r="M12" i="19"/>
  <c r="M11" i="19"/>
  <c r="M10" i="19"/>
  <c r="M9" i="19"/>
  <c r="A2" i="19"/>
  <c r="A1" i="19"/>
  <c r="P20" i="18"/>
  <c r="I20" i="18"/>
  <c r="J20" i="18" s="1"/>
  <c r="P19" i="18"/>
  <c r="J19" i="18"/>
  <c r="I19" i="18"/>
  <c r="P18" i="18"/>
  <c r="I18" i="18"/>
  <c r="J18" i="18" s="1"/>
  <c r="P17" i="18"/>
  <c r="J17" i="18"/>
  <c r="I17" i="18"/>
  <c r="P16" i="18"/>
  <c r="J16" i="18"/>
  <c r="I16" i="18"/>
  <c r="P15" i="18"/>
  <c r="J15" i="18"/>
  <c r="I15" i="18"/>
  <c r="P14" i="18"/>
  <c r="J14" i="18"/>
  <c r="I14" i="18"/>
  <c r="P13" i="18"/>
  <c r="J13" i="18"/>
  <c r="I13" i="18"/>
  <c r="P12" i="18"/>
  <c r="I12" i="18"/>
  <c r="J12" i="18" s="1"/>
  <c r="P11" i="18"/>
  <c r="J11" i="18"/>
  <c r="I11" i="18"/>
  <c r="P10" i="18"/>
  <c r="J10" i="18"/>
  <c r="I10" i="18"/>
  <c r="P9" i="18"/>
  <c r="I9" i="18"/>
  <c r="J9" i="18" s="1"/>
  <c r="A2" i="18"/>
  <c r="A1" i="18"/>
  <c r="N20" i="17"/>
  <c r="N19" i="17"/>
  <c r="N18" i="17"/>
  <c r="N17" i="17"/>
  <c r="N16" i="17"/>
  <c r="N15" i="17"/>
  <c r="N14" i="17"/>
  <c r="N13" i="17"/>
  <c r="N12" i="17"/>
  <c r="N11" i="17"/>
  <c r="N10" i="17"/>
  <c r="N9" i="17"/>
  <c r="B12" i="25" s="1"/>
  <c r="M12" i="6" s="1"/>
  <c r="A2" i="17"/>
  <c r="A1" i="17"/>
  <c r="X43" i="16"/>
  <c r="W43" i="16"/>
  <c r="R43" i="16"/>
  <c r="Q43" i="16"/>
  <c r="X42" i="16"/>
  <c r="R42" i="16"/>
  <c r="Q42" i="16"/>
  <c r="W42" i="16" s="1"/>
  <c r="X41" i="16"/>
  <c r="W41" i="16"/>
  <c r="R41" i="16"/>
  <c r="Q41" i="16"/>
  <c r="X40" i="16"/>
  <c r="W40" i="16"/>
  <c r="R40" i="16"/>
  <c r="Q40" i="16"/>
  <c r="X39" i="16"/>
  <c r="W39" i="16"/>
  <c r="R39" i="16"/>
  <c r="Q39" i="16"/>
  <c r="X38" i="16"/>
  <c r="R38" i="16"/>
  <c r="Q38" i="16"/>
  <c r="W38" i="16" s="1"/>
  <c r="X37" i="16"/>
  <c r="W37" i="16"/>
  <c r="R37" i="16"/>
  <c r="Q37" i="16"/>
  <c r="X36" i="16"/>
  <c r="W36" i="16"/>
  <c r="R36" i="16"/>
  <c r="Q36" i="16"/>
  <c r="X35" i="16"/>
  <c r="W35" i="16"/>
  <c r="R35" i="16"/>
  <c r="Q35" i="16"/>
  <c r="X34" i="16"/>
  <c r="R34" i="16"/>
  <c r="Q34" i="16"/>
  <c r="W34" i="16" s="1"/>
  <c r="X33" i="16"/>
  <c r="W33" i="16"/>
  <c r="R33" i="16"/>
  <c r="Q33" i="16"/>
  <c r="X32" i="16"/>
  <c r="W32" i="16"/>
  <c r="R32" i="16"/>
  <c r="Q32" i="16"/>
  <c r="X31" i="16"/>
  <c r="W31" i="16"/>
  <c r="R31" i="16"/>
  <c r="Q31" i="16"/>
  <c r="X30" i="16"/>
  <c r="R30" i="16"/>
  <c r="Q30" i="16"/>
  <c r="W30" i="16" s="1"/>
  <c r="X29" i="16"/>
  <c r="W29" i="16"/>
  <c r="R29" i="16"/>
  <c r="Q29" i="16"/>
  <c r="X28" i="16"/>
  <c r="W28" i="16"/>
  <c r="R28" i="16"/>
  <c r="Q28" i="16"/>
  <c r="X27" i="16"/>
  <c r="W27" i="16"/>
  <c r="R27" i="16"/>
  <c r="Q27" i="16"/>
  <c r="X26" i="16"/>
  <c r="R26" i="16"/>
  <c r="Q26" i="16"/>
  <c r="W26" i="16" s="1"/>
  <c r="X25" i="16"/>
  <c r="W25" i="16"/>
  <c r="R25" i="16"/>
  <c r="Q25" i="16"/>
  <c r="X24" i="16"/>
  <c r="W24" i="16"/>
  <c r="R24" i="16"/>
  <c r="Q24" i="16"/>
  <c r="X23" i="16"/>
  <c r="W23" i="16"/>
  <c r="R23" i="16"/>
  <c r="Q23" i="16"/>
  <c r="X22" i="16"/>
  <c r="R22" i="16"/>
  <c r="Q22" i="16"/>
  <c r="W22" i="16" s="1"/>
  <c r="X21" i="16"/>
  <c r="W21" i="16"/>
  <c r="R21" i="16"/>
  <c r="Q21" i="16"/>
  <c r="X20" i="16"/>
  <c r="W20" i="16"/>
  <c r="R20" i="16"/>
  <c r="Q20" i="16"/>
  <c r="X19" i="16"/>
  <c r="W19" i="16"/>
  <c r="R19" i="16"/>
  <c r="Q19" i="16"/>
  <c r="X18" i="16"/>
  <c r="R18" i="16"/>
  <c r="Q18" i="16"/>
  <c r="W18" i="16" s="1"/>
  <c r="X17" i="16"/>
  <c r="W17" i="16"/>
  <c r="R17" i="16"/>
  <c r="Q17" i="16"/>
  <c r="X16" i="16"/>
  <c r="W16" i="16"/>
  <c r="R16" i="16"/>
  <c r="Q16" i="16"/>
  <c r="X15" i="16"/>
  <c r="W15" i="16"/>
  <c r="R15" i="16"/>
  <c r="Q15" i="16"/>
  <c r="X14" i="16"/>
  <c r="R14" i="16"/>
  <c r="Q14" i="16"/>
  <c r="W14" i="16" s="1"/>
  <c r="X13" i="16"/>
  <c r="W13" i="16"/>
  <c r="R13" i="16"/>
  <c r="Q13" i="16"/>
  <c r="X12" i="16"/>
  <c r="W12" i="16"/>
  <c r="R12" i="16"/>
  <c r="Q12" i="16"/>
  <c r="X11" i="16"/>
  <c r="W11" i="16"/>
  <c r="R11" i="16"/>
  <c r="Q11" i="16"/>
  <c r="X10" i="16"/>
  <c r="R10" i="16"/>
  <c r="Q10" i="16"/>
  <c r="W10" i="16" s="1"/>
  <c r="X9" i="16"/>
  <c r="B24" i="25" s="1"/>
  <c r="A9" i="7" s="1"/>
  <c r="W9" i="16"/>
  <c r="R9" i="16"/>
  <c r="B23" i="25" s="1"/>
  <c r="J9" i="7" s="1"/>
  <c r="Q9" i="16"/>
  <c r="A2" i="16"/>
  <c r="A1" i="16"/>
  <c r="N158" i="15"/>
  <c r="M158" i="15"/>
  <c r="N157" i="15"/>
  <c r="M157" i="15"/>
  <c r="N156" i="15"/>
  <c r="M156" i="15"/>
  <c r="N155" i="15"/>
  <c r="M155" i="15"/>
  <c r="N154" i="15"/>
  <c r="M154" i="15"/>
  <c r="N153" i="15"/>
  <c r="M153" i="15"/>
  <c r="N152" i="15"/>
  <c r="M152" i="15"/>
  <c r="N151" i="15"/>
  <c r="M151" i="15"/>
  <c r="N150" i="15"/>
  <c r="M150" i="15"/>
  <c r="N149" i="15"/>
  <c r="M149" i="15"/>
  <c r="N148" i="15"/>
  <c r="M148" i="15"/>
  <c r="N147" i="15"/>
  <c r="M147" i="15"/>
  <c r="N146" i="15"/>
  <c r="M146" i="15"/>
  <c r="N145" i="15"/>
  <c r="M145" i="15"/>
  <c r="N144" i="15"/>
  <c r="M144" i="15"/>
  <c r="N143" i="15"/>
  <c r="M143" i="15"/>
  <c r="N142" i="15"/>
  <c r="M142" i="15"/>
  <c r="N141" i="15"/>
  <c r="M141" i="15"/>
  <c r="N140" i="15"/>
  <c r="M140" i="15"/>
  <c r="N139" i="15"/>
  <c r="M139" i="15"/>
  <c r="N138" i="15"/>
  <c r="M138" i="15"/>
  <c r="N137" i="15"/>
  <c r="M137" i="15"/>
  <c r="N136" i="15"/>
  <c r="M136" i="15"/>
  <c r="N135" i="15"/>
  <c r="M135" i="15"/>
  <c r="N134" i="15"/>
  <c r="M134" i="15"/>
  <c r="N133" i="15"/>
  <c r="M133" i="15"/>
  <c r="N132" i="15"/>
  <c r="M132" i="15"/>
  <c r="N131" i="15"/>
  <c r="M131" i="15"/>
  <c r="N130" i="15"/>
  <c r="M130" i="15"/>
  <c r="N129" i="15"/>
  <c r="M129" i="15"/>
  <c r="N128" i="15"/>
  <c r="M128" i="15"/>
  <c r="N127" i="15"/>
  <c r="M127" i="15"/>
  <c r="N126" i="15"/>
  <c r="M126" i="15"/>
  <c r="N125" i="15"/>
  <c r="M125" i="15"/>
  <c r="N124" i="15"/>
  <c r="M124" i="15"/>
  <c r="N123" i="15"/>
  <c r="M123" i="15"/>
  <c r="N122" i="15"/>
  <c r="M122" i="15"/>
  <c r="N121" i="15"/>
  <c r="M121" i="15"/>
  <c r="N120" i="15"/>
  <c r="M120" i="15"/>
  <c r="N119" i="15"/>
  <c r="M119" i="15"/>
  <c r="N118" i="15"/>
  <c r="M118" i="15"/>
  <c r="N117" i="15"/>
  <c r="M117" i="15"/>
  <c r="N116" i="15"/>
  <c r="M116" i="15"/>
  <c r="N115" i="15"/>
  <c r="M115" i="15"/>
  <c r="N114" i="15"/>
  <c r="M114" i="15"/>
  <c r="N113" i="15"/>
  <c r="M113" i="15"/>
  <c r="N112" i="15"/>
  <c r="M112" i="15"/>
  <c r="N111" i="15"/>
  <c r="M111" i="15"/>
  <c r="N110" i="15"/>
  <c r="M110" i="15"/>
  <c r="N109" i="15"/>
  <c r="M109" i="15"/>
  <c r="N108" i="15"/>
  <c r="M108" i="15"/>
  <c r="N107" i="15"/>
  <c r="M107" i="15"/>
  <c r="N106" i="15"/>
  <c r="M106" i="15"/>
  <c r="N105" i="15"/>
  <c r="M105" i="15"/>
  <c r="N104" i="15"/>
  <c r="M104" i="15"/>
  <c r="N103" i="15"/>
  <c r="M103" i="15"/>
  <c r="N102" i="15"/>
  <c r="M102" i="15"/>
  <c r="N101" i="15"/>
  <c r="M101" i="15"/>
  <c r="N100" i="15"/>
  <c r="M100" i="15"/>
  <c r="N99" i="15"/>
  <c r="M99" i="15"/>
  <c r="N98" i="15"/>
  <c r="M98" i="15"/>
  <c r="N97" i="15"/>
  <c r="M97" i="15"/>
  <c r="N96" i="15"/>
  <c r="M96" i="15"/>
  <c r="N95" i="15"/>
  <c r="M95" i="15"/>
  <c r="N94" i="15"/>
  <c r="M94" i="15"/>
  <c r="N93" i="15"/>
  <c r="M93" i="15"/>
  <c r="N92" i="15"/>
  <c r="M92" i="15"/>
  <c r="N91" i="15"/>
  <c r="M91" i="15"/>
  <c r="N90" i="15"/>
  <c r="M90" i="15"/>
  <c r="N89" i="15"/>
  <c r="M89" i="15"/>
  <c r="N88" i="15"/>
  <c r="M88" i="15"/>
  <c r="N87" i="15"/>
  <c r="M87" i="15"/>
  <c r="N86" i="15"/>
  <c r="M86" i="15"/>
  <c r="N85" i="15"/>
  <c r="M85" i="15"/>
  <c r="N84" i="15"/>
  <c r="M84" i="15"/>
  <c r="N83" i="15"/>
  <c r="M83" i="15"/>
  <c r="N82" i="15"/>
  <c r="M82" i="15"/>
  <c r="N81" i="15"/>
  <c r="M81" i="15"/>
  <c r="N80" i="15"/>
  <c r="M80" i="15"/>
  <c r="N79" i="15"/>
  <c r="M79" i="15"/>
  <c r="N78" i="15"/>
  <c r="M78" i="15"/>
  <c r="N77" i="15"/>
  <c r="M77" i="15"/>
  <c r="N76" i="15"/>
  <c r="M76" i="15"/>
  <c r="N75" i="15"/>
  <c r="M75" i="15"/>
  <c r="N74" i="15"/>
  <c r="M74" i="15"/>
  <c r="N73" i="15"/>
  <c r="M73" i="15"/>
  <c r="N72" i="15"/>
  <c r="M72" i="15"/>
  <c r="N71" i="15"/>
  <c r="M71" i="15"/>
  <c r="N70" i="15"/>
  <c r="M70" i="15"/>
  <c r="N69" i="15"/>
  <c r="M69" i="15"/>
  <c r="N68" i="15"/>
  <c r="M68" i="15"/>
  <c r="N67" i="15"/>
  <c r="M67" i="15"/>
  <c r="N66" i="15"/>
  <c r="M66" i="15"/>
  <c r="N65" i="15"/>
  <c r="M65" i="15"/>
  <c r="N64" i="15"/>
  <c r="M64" i="15"/>
  <c r="N63" i="15"/>
  <c r="M63" i="15"/>
  <c r="N62" i="15"/>
  <c r="M62" i="15"/>
  <c r="N61" i="15"/>
  <c r="M61" i="15"/>
  <c r="N60" i="15"/>
  <c r="M60" i="15"/>
  <c r="N59" i="15"/>
  <c r="M59" i="15"/>
  <c r="N58" i="15"/>
  <c r="M58" i="15"/>
  <c r="N57" i="15"/>
  <c r="M57" i="15"/>
  <c r="N56" i="15"/>
  <c r="M56" i="15"/>
  <c r="N55" i="15"/>
  <c r="M55" i="15"/>
  <c r="N54" i="15"/>
  <c r="M54" i="15"/>
  <c r="N53" i="15"/>
  <c r="M53" i="15"/>
  <c r="N52" i="15"/>
  <c r="M52" i="15"/>
  <c r="N51" i="15"/>
  <c r="M51" i="15"/>
  <c r="N50" i="15"/>
  <c r="M50" i="15"/>
  <c r="N49" i="15"/>
  <c r="M49"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8" i="15"/>
  <c r="M28" i="15"/>
  <c r="N27" i="15"/>
  <c r="M27" i="15"/>
  <c r="N26" i="15"/>
  <c r="M26" i="15"/>
  <c r="N25" i="15"/>
  <c r="M25"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AI2" i="25" s="1"/>
  <c r="A2" i="15"/>
  <c r="A1" i="15"/>
  <c r="P88" i="14"/>
  <c r="O88" i="14"/>
  <c r="N88" i="14"/>
  <c r="M88" i="14"/>
  <c r="P87" i="14"/>
  <c r="O87" i="14"/>
  <c r="N87" i="14"/>
  <c r="M87" i="14"/>
  <c r="P86" i="14"/>
  <c r="O86" i="14"/>
  <c r="N86" i="14"/>
  <c r="M86" i="14"/>
  <c r="P85" i="14"/>
  <c r="O85" i="14"/>
  <c r="N85" i="14"/>
  <c r="M85" i="14"/>
  <c r="P84" i="14"/>
  <c r="O84" i="14"/>
  <c r="N84" i="14"/>
  <c r="M84" i="14"/>
  <c r="P83" i="14"/>
  <c r="O83" i="14"/>
  <c r="N83" i="14"/>
  <c r="M83" i="14"/>
  <c r="P82" i="14"/>
  <c r="O82" i="14"/>
  <c r="N82" i="14"/>
  <c r="M82" i="14"/>
  <c r="P81" i="14"/>
  <c r="O81" i="14"/>
  <c r="N81" i="14"/>
  <c r="M81" i="14"/>
  <c r="P80" i="14"/>
  <c r="O80" i="14"/>
  <c r="N80" i="14"/>
  <c r="M80" i="14"/>
  <c r="P79" i="14"/>
  <c r="O79" i="14"/>
  <c r="N79" i="14"/>
  <c r="M79" i="14"/>
  <c r="P78" i="14"/>
  <c r="O78" i="14"/>
  <c r="N78" i="14"/>
  <c r="M78" i="14"/>
  <c r="P77" i="14"/>
  <c r="O77" i="14"/>
  <c r="N77" i="14"/>
  <c r="M77" i="14"/>
  <c r="P76" i="14"/>
  <c r="O76" i="14"/>
  <c r="N76" i="14"/>
  <c r="M76" i="14"/>
  <c r="P75" i="14"/>
  <c r="O75" i="14"/>
  <c r="N75" i="14"/>
  <c r="M75" i="14"/>
  <c r="P74" i="14"/>
  <c r="O74" i="14"/>
  <c r="N74" i="14"/>
  <c r="M74" i="14"/>
  <c r="P73" i="14"/>
  <c r="O73" i="14"/>
  <c r="N73" i="14"/>
  <c r="M73" i="14"/>
  <c r="P72" i="14"/>
  <c r="O72" i="14"/>
  <c r="N72" i="14"/>
  <c r="M72" i="14"/>
  <c r="P71" i="14"/>
  <c r="O71" i="14"/>
  <c r="N71" i="14"/>
  <c r="M71" i="14"/>
  <c r="P70" i="14"/>
  <c r="O70" i="14"/>
  <c r="N70" i="14"/>
  <c r="M70" i="14"/>
  <c r="P69" i="14"/>
  <c r="O69" i="14"/>
  <c r="N69" i="14"/>
  <c r="M69" i="14"/>
  <c r="P68" i="14"/>
  <c r="O68" i="14"/>
  <c r="N68" i="14"/>
  <c r="M68" i="14"/>
  <c r="P67" i="14"/>
  <c r="O67" i="14"/>
  <c r="N67" i="14"/>
  <c r="M67" i="14"/>
  <c r="P66" i="14"/>
  <c r="O66" i="14"/>
  <c r="N66" i="14"/>
  <c r="M66" i="14"/>
  <c r="P65" i="14"/>
  <c r="O65" i="14"/>
  <c r="N65" i="14"/>
  <c r="M65" i="14"/>
  <c r="P64" i="14"/>
  <c r="O64" i="14"/>
  <c r="N64" i="14"/>
  <c r="M64" i="14"/>
  <c r="P63" i="14"/>
  <c r="O63" i="14"/>
  <c r="N63" i="14"/>
  <c r="M63" i="14"/>
  <c r="P62" i="14"/>
  <c r="O62" i="14"/>
  <c r="N62" i="14"/>
  <c r="M62" i="14"/>
  <c r="P61" i="14"/>
  <c r="O61" i="14"/>
  <c r="N61" i="14"/>
  <c r="M61" i="14"/>
  <c r="P60" i="14"/>
  <c r="O60" i="14"/>
  <c r="N60" i="14"/>
  <c r="M60" i="14"/>
  <c r="P59" i="14"/>
  <c r="O59" i="14"/>
  <c r="N59" i="14"/>
  <c r="M59" i="14"/>
  <c r="P58" i="14"/>
  <c r="O58" i="14"/>
  <c r="N58" i="14"/>
  <c r="M58" i="14"/>
  <c r="P57" i="14"/>
  <c r="O57" i="14"/>
  <c r="N57" i="14"/>
  <c r="M57" i="14"/>
  <c r="P56" i="14"/>
  <c r="O56" i="14"/>
  <c r="N56" i="14"/>
  <c r="M56" i="14"/>
  <c r="P55" i="14"/>
  <c r="O55" i="14"/>
  <c r="N55" i="14"/>
  <c r="M55" i="14"/>
  <c r="P54" i="14"/>
  <c r="O54" i="14"/>
  <c r="N54" i="14"/>
  <c r="M54" i="14"/>
  <c r="P53" i="14"/>
  <c r="O53" i="14"/>
  <c r="N53" i="14"/>
  <c r="M53" i="14"/>
  <c r="P52" i="14"/>
  <c r="O52" i="14"/>
  <c r="N52" i="14"/>
  <c r="M52" i="14"/>
  <c r="P51" i="14"/>
  <c r="O51" i="14"/>
  <c r="N51" i="14"/>
  <c r="M51" i="14"/>
  <c r="P50" i="14"/>
  <c r="O50" i="14"/>
  <c r="N50" i="14"/>
  <c r="M50" i="14"/>
  <c r="P49" i="14"/>
  <c r="O49" i="14"/>
  <c r="N49" i="14"/>
  <c r="M49" i="14"/>
  <c r="P48" i="14"/>
  <c r="O48" i="14"/>
  <c r="N48" i="14"/>
  <c r="M48" i="14"/>
  <c r="P47" i="14"/>
  <c r="O47" i="14"/>
  <c r="N47" i="14"/>
  <c r="M47" i="14"/>
  <c r="P46" i="14"/>
  <c r="O46" i="14"/>
  <c r="N46" i="14"/>
  <c r="M46" i="14"/>
  <c r="P45" i="14"/>
  <c r="O45" i="14"/>
  <c r="N45" i="14"/>
  <c r="M45" i="14"/>
  <c r="P44" i="14"/>
  <c r="O44" i="14"/>
  <c r="N44" i="14"/>
  <c r="M44" i="14"/>
  <c r="P43" i="14"/>
  <c r="O43" i="14"/>
  <c r="N43" i="14"/>
  <c r="M43" i="14"/>
  <c r="P42" i="14"/>
  <c r="O42" i="14"/>
  <c r="N42" i="14"/>
  <c r="M42" i="14"/>
  <c r="P41" i="14"/>
  <c r="O41" i="14"/>
  <c r="N41" i="14"/>
  <c r="M41" i="14"/>
  <c r="P40" i="14"/>
  <c r="O40" i="14"/>
  <c r="N40" i="14"/>
  <c r="M40" i="14"/>
  <c r="P39" i="14"/>
  <c r="O39" i="14"/>
  <c r="N39" i="14"/>
  <c r="M39" i="14"/>
  <c r="P38" i="14"/>
  <c r="O38" i="14"/>
  <c r="N38" i="14"/>
  <c r="M38" i="14"/>
  <c r="P37" i="14"/>
  <c r="O37" i="14"/>
  <c r="N37" i="14"/>
  <c r="M37" i="14"/>
  <c r="P36" i="14"/>
  <c r="O36" i="14"/>
  <c r="N36" i="14"/>
  <c r="M36" i="14"/>
  <c r="P35" i="14"/>
  <c r="O35" i="14"/>
  <c r="N35" i="14"/>
  <c r="M35" i="14"/>
  <c r="P34" i="14"/>
  <c r="O34" i="14"/>
  <c r="N34" i="14"/>
  <c r="M34" i="14"/>
  <c r="P33" i="14"/>
  <c r="O33" i="14"/>
  <c r="N33" i="14"/>
  <c r="M33" i="14"/>
  <c r="P32" i="14"/>
  <c r="O32" i="14"/>
  <c r="N32" i="14"/>
  <c r="M32" i="14"/>
  <c r="P31" i="14"/>
  <c r="O31" i="14"/>
  <c r="N31" i="14"/>
  <c r="M31" i="14"/>
  <c r="P30" i="14"/>
  <c r="O30" i="14"/>
  <c r="N30" i="14"/>
  <c r="M30" i="14"/>
  <c r="P29" i="14"/>
  <c r="O29" i="14"/>
  <c r="N29" i="14"/>
  <c r="M29" i="14"/>
  <c r="P28" i="14"/>
  <c r="O28" i="14"/>
  <c r="N28" i="14"/>
  <c r="M28" i="14"/>
  <c r="P27" i="14"/>
  <c r="O27" i="14"/>
  <c r="N27" i="14"/>
  <c r="M27" i="14"/>
  <c r="P26" i="14"/>
  <c r="O26" i="14"/>
  <c r="N26" i="14"/>
  <c r="M26" i="14"/>
  <c r="P25" i="14"/>
  <c r="O25" i="14"/>
  <c r="N25" i="14"/>
  <c r="M25" i="14"/>
  <c r="P24" i="14"/>
  <c r="O24" i="14"/>
  <c r="N24" i="14"/>
  <c r="M24" i="14"/>
  <c r="P23" i="14"/>
  <c r="O23" i="14"/>
  <c r="N23" i="14"/>
  <c r="M23" i="14"/>
  <c r="P22" i="14"/>
  <c r="O22" i="14"/>
  <c r="N22" i="14"/>
  <c r="M22" i="14"/>
  <c r="P21" i="14"/>
  <c r="O21" i="14"/>
  <c r="N21" i="14"/>
  <c r="M21" i="14"/>
  <c r="P20" i="14"/>
  <c r="O20" i="14"/>
  <c r="N20" i="14"/>
  <c r="M20" i="14"/>
  <c r="P19" i="14"/>
  <c r="O19" i="14"/>
  <c r="N19" i="14"/>
  <c r="M19" i="14"/>
  <c r="P18" i="14"/>
  <c r="O18" i="14"/>
  <c r="N18" i="14"/>
  <c r="M18" i="14"/>
  <c r="P17" i="14"/>
  <c r="O17" i="14"/>
  <c r="N17" i="14"/>
  <c r="M17" i="14"/>
  <c r="P16" i="14"/>
  <c r="O16" i="14"/>
  <c r="N16" i="14"/>
  <c r="M16" i="14"/>
  <c r="P15" i="14"/>
  <c r="O15" i="14"/>
  <c r="N15" i="14"/>
  <c r="M15" i="14"/>
  <c r="P14" i="14"/>
  <c r="O14" i="14"/>
  <c r="N14" i="14"/>
  <c r="M14" i="14"/>
  <c r="P13" i="14"/>
  <c r="O13" i="14"/>
  <c r="N13" i="14"/>
  <c r="M13" i="14"/>
  <c r="P12" i="14"/>
  <c r="O12" i="14"/>
  <c r="N12" i="14"/>
  <c r="M12" i="14"/>
  <c r="P11" i="14"/>
  <c r="O11" i="14"/>
  <c r="N11" i="14"/>
  <c r="M11" i="14"/>
  <c r="P10" i="14"/>
  <c r="O10" i="14"/>
  <c r="N10" i="14"/>
  <c r="M10" i="14"/>
  <c r="P9" i="14"/>
  <c r="O9" i="14"/>
  <c r="N9" i="14"/>
  <c r="M9" i="14"/>
  <c r="B16" i="25" s="1"/>
  <c r="D9" i="6" s="1"/>
  <c r="A2" i="14"/>
  <c r="A1" i="14"/>
  <c r="M78" i="13"/>
  <c r="L78" i="13"/>
  <c r="M77" i="13"/>
  <c r="L77" i="13"/>
  <c r="M76" i="13"/>
  <c r="L76" i="13"/>
  <c r="M75" i="13"/>
  <c r="L75" i="13"/>
  <c r="M74" i="13"/>
  <c r="L74" i="13"/>
  <c r="M73" i="13"/>
  <c r="L73" i="13"/>
  <c r="M72" i="13"/>
  <c r="L72" i="13"/>
  <c r="M71" i="13"/>
  <c r="L71" i="13"/>
  <c r="M70" i="13"/>
  <c r="L70" i="13"/>
  <c r="M69" i="13"/>
  <c r="L69" i="13"/>
  <c r="M68" i="13"/>
  <c r="L68" i="13"/>
  <c r="M67" i="13"/>
  <c r="L67" i="13"/>
  <c r="M66" i="13"/>
  <c r="L66" i="13"/>
  <c r="M65" i="13"/>
  <c r="L65" i="13"/>
  <c r="M64" i="13"/>
  <c r="L64" i="13"/>
  <c r="M63" i="13"/>
  <c r="L63" i="13"/>
  <c r="M62" i="13"/>
  <c r="L62" i="13"/>
  <c r="M61" i="13"/>
  <c r="L61" i="13"/>
  <c r="M60" i="13"/>
  <c r="L60" i="13"/>
  <c r="M59" i="13"/>
  <c r="L59" i="13"/>
  <c r="M58" i="13"/>
  <c r="L58" i="13"/>
  <c r="M57" i="13"/>
  <c r="L57" i="13"/>
  <c r="M56" i="13"/>
  <c r="L56" i="13"/>
  <c r="M55" i="13"/>
  <c r="L55" i="13"/>
  <c r="M54" i="13"/>
  <c r="L54" i="13"/>
  <c r="M53" i="13"/>
  <c r="L53" i="13"/>
  <c r="M52" i="13"/>
  <c r="L52" i="13"/>
  <c r="M51" i="13"/>
  <c r="L51" i="13"/>
  <c r="M50" i="13"/>
  <c r="L50" i="13"/>
  <c r="M49" i="13"/>
  <c r="L49" i="13"/>
  <c r="M48" i="13"/>
  <c r="L48" i="13"/>
  <c r="M47" i="13"/>
  <c r="L47" i="13"/>
  <c r="M46" i="13"/>
  <c r="L46" i="13"/>
  <c r="M45" i="13"/>
  <c r="L45" i="13"/>
  <c r="M44" i="13"/>
  <c r="L44" i="13"/>
  <c r="M43" i="13"/>
  <c r="L43" i="13"/>
  <c r="M42" i="13"/>
  <c r="L42" i="13"/>
  <c r="M41" i="13"/>
  <c r="L41" i="13"/>
  <c r="M40" i="13"/>
  <c r="L40" i="13"/>
  <c r="M39" i="13"/>
  <c r="L39" i="13"/>
  <c r="M38" i="13"/>
  <c r="L38" i="13"/>
  <c r="M37" i="13"/>
  <c r="L37" i="13"/>
  <c r="M36" i="13"/>
  <c r="L36" i="13"/>
  <c r="M35" i="13"/>
  <c r="L35" i="13"/>
  <c r="M34" i="13"/>
  <c r="L34" i="13"/>
  <c r="M33" i="13"/>
  <c r="L33" i="13"/>
  <c r="M32" i="13"/>
  <c r="L32" i="13"/>
  <c r="M31" i="13"/>
  <c r="L31" i="13"/>
  <c r="M30" i="13"/>
  <c r="L30" i="13"/>
  <c r="M29" i="13"/>
  <c r="L29" i="13"/>
  <c r="M28" i="13"/>
  <c r="L28" i="13"/>
  <c r="M27" i="13"/>
  <c r="L27" i="13"/>
  <c r="M26" i="13"/>
  <c r="L26" i="13"/>
  <c r="M25" i="13"/>
  <c r="L25" i="13"/>
  <c r="M24" i="13"/>
  <c r="L24" i="13"/>
  <c r="M23" i="13"/>
  <c r="L23" i="13"/>
  <c r="M22" i="13"/>
  <c r="L22" i="13"/>
  <c r="M21" i="13"/>
  <c r="L21" i="13"/>
  <c r="M20" i="13"/>
  <c r="L20" i="13"/>
  <c r="M19" i="13"/>
  <c r="L19" i="13"/>
  <c r="M18" i="13"/>
  <c r="L18" i="13"/>
  <c r="M17" i="13"/>
  <c r="L17" i="13"/>
  <c r="M16" i="13"/>
  <c r="L16" i="13"/>
  <c r="M15" i="13"/>
  <c r="L15" i="13"/>
  <c r="M14" i="13"/>
  <c r="L14" i="13"/>
  <c r="M13" i="13"/>
  <c r="L13" i="13"/>
  <c r="M12" i="13"/>
  <c r="L12" i="13"/>
  <c r="M11" i="13"/>
  <c r="L11" i="13"/>
  <c r="M10" i="13"/>
  <c r="L10" i="13"/>
  <c r="M9" i="13"/>
  <c r="B11" i="25" s="1"/>
  <c r="G9" i="8" s="1"/>
  <c r="L9" i="13"/>
  <c r="A2" i="13"/>
  <c r="A1" i="13"/>
  <c r="M33" i="12"/>
  <c r="M32" i="12"/>
  <c r="M31" i="12"/>
  <c r="M30" i="12"/>
  <c r="M29" i="12"/>
  <c r="M28" i="12"/>
  <c r="M27" i="12"/>
  <c r="M26" i="12"/>
  <c r="M25" i="12"/>
  <c r="M24" i="12"/>
  <c r="M23" i="12"/>
  <c r="M22" i="12"/>
  <c r="M21" i="12"/>
  <c r="M20" i="12"/>
  <c r="M19" i="12"/>
  <c r="M18" i="12"/>
  <c r="M17" i="12"/>
  <c r="M16" i="12"/>
  <c r="M15" i="12"/>
  <c r="M14" i="12"/>
  <c r="M13" i="12"/>
  <c r="M12" i="12"/>
  <c r="M11" i="12"/>
  <c r="M10" i="12"/>
  <c r="M9" i="12"/>
  <c r="A2" i="12"/>
  <c r="A1" i="12"/>
  <c r="M26" i="11"/>
  <c r="N26" i="11" s="1"/>
  <c r="K26" i="11"/>
  <c r="K25" i="11"/>
  <c r="M25" i="11" s="1"/>
  <c r="N25" i="11" s="1"/>
  <c r="K24" i="11"/>
  <c r="M24" i="11" s="1"/>
  <c r="N24" i="11" s="1"/>
  <c r="K23" i="11"/>
  <c r="M23" i="11" s="1"/>
  <c r="N23" i="11" s="1"/>
  <c r="K22" i="11"/>
  <c r="M22" i="11" s="1"/>
  <c r="N22" i="11" s="1"/>
  <c r="K21" i="11"/>
  <c r="M21" i="11" s="1"/>
  <c r="N21" i="11" s="1"/>
  <c r="M20" i="11"/>
  <c r="N20" i="11" s="1"/>
  <c r="K20" i="11"/>
  <c r="M19" i="11"/>
  <c r="N19" i="11" s="1"/>
  <c r="K19" i="11"/>
  <c r="K18" i="11"/>
  <c r="M18" i="11" s="1"/>
  <c r="N18" i="11" s="1"/>
  <c r="K17" i="11"/>
  <c r="M17" i="11" s="1"/>
  <c r="N17" i="11" s="1"/>
  <c r="M16" i="11"/>
  <c r="N16" i="11" s="1"/>
  <c r="K16" i="11"/>
  <c r="K15" i="11"/>
  <c r="M15" i="11" s="1"/>
  <c r="N15" i="11" s="1"/>
  <c r="K14" i="11"/>
  <c r="M14" i="11" s="1"/>
  <c r="N14" i="11" s="1"/>
  <c r="M13" i="11"/>
  <c r="N13" i="11" s="1"/>
  <c r="K13" i="11"/>
  <c r="K12" i="11"/>
  <c r="M12" i="11" s="1"/>
  <c r="N12" i="11" s="1"/>
  <c r="K11" i="11"/>
  <c r="M11" i="11" s="1"/>
  <c r="N11" i="11" s="1"/>
  <c r="M10" i="11"/>
  <c r="N10" i="11" s="1"/>
  <c r="K10" i="11"/>
  <c r="K9" i="11"/>
  <c r="M9" i="11" s="1"/>
  <c r="N9" i="11" s="1"/>
  <c r="A2" i="11"/>
  <c r="A1" i="11"/>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A2" i="10"/>
  <c r="A1" i="10"/>
  <c r="L23" i="9"/>
  <c r="K23" i="9"/>
  <c r="K22" i="9"/>
  <c r="L22" i="9" s="1"/>
  <c r="K21" i="9"/>
  <c r="L21" i="9" s="1"/>
  <c r="K20" i="9"/>
  <c r="L20" i="9" s="1"/>
  <c r="K19" i="9"/>
  <c r="L19" i="9" s="1"/>
  <c r="K18" i="9"/>
  <c r="L18" i="9" s="1"/>
  <c r="K17" i="9"/>
  <c r="L17" i="9" s="1"/>
  <c r="L16" i="9"/>
  <c r="K16" i="9"/>
  <c r="L15" i="9"/>
  <c r="K15" i="9"/>
  <c r="K14" i="9"/>
  <c r="L14" i="9" s="1"/>
  <c r="K13" i="9"/>
  <c r="L13" i="9" s="1"/>
  <c r="K12" i="9"/>
  <c r="E26" i="4" s="1"/>
  <c r="K11" i="9"/>
  <c r="L11" i="9" s="1"/>
  <c r="K10" i="9"/>
  <c r="L10" i="9" s="1"/>
  <c r="K9" i="9"/>
  <c r="L9" i="9" s="1"/>
  <c r="A2" i="9"/>
  <c r="A1" i="9"/>
  <c r="M12" i="8"/>
  <c r="J12" i="8"/>
  <c r="G12" i="8"/>
  <c r="A12" i="8"/>
  <c r="J9" i="8"/>
  <c r="A9" i="8"/>
  <c r="A2" i="8"/>
  <c r="A1" i="8"/>
  <c r="M12" i="7"/>
  <c r="J12" i="7"/>
  <c r="G12" i="7"/>
  <c r="D12" i="7"/>
  <c r="A12" i="7"/>
  <c r="M9" i="7"/>
  <c r="G9" i="7"/>
  <c r="D9" i="7"/>
  <c r="A2" i="7"/>
  <c r="A1" i="7"/>
  <c r="J12" i="6"/>
  <c r="G12" i="6"/>
  <c r="D12" i="6"/>
  <c r="A12" i="6"/>
  <c r="J9" i="6"/>
  <c r="G9" i="6"/>
  <c r="A9" i="6"/>
  <c r="A2" i="6"/>
  <c r="A1" i="6"/>
  <c r="G12" i="5"/>
  <c r="D12" i="5"/>
  <c r="A12" i="5"/>
  <c r="M9" i="5"/>
  <c r="J9" i="5"/>
  <c r="G9" i="5"/>
  <c r="A9" i="5"/>
  <c r="A2" i="5"/>
  <c r="A1" i="5"/>
  <c r="E30" i="4"/>
  <c r="D30" i="4"/>
  <c r="E29" i="4"/>
  <c r="D29" i="4"/>
  <c r="E28" i="4"/>
  <c r="D28" i="4"/>
  <c r="E27" i="4"/>
  <c r="D27" i="4"/>
  <c r="D26" i="4"/>
  <c r="D25" i="4"/>
  <c r="D24" i="4"/>
  <c r="E23" i="4"/>
  <c r="D23" i="4"/>
  <c r="B14" i="4"/>
  <c r="B13" i="4"/>
  <c r="L12" i="4"/>
  <c r="I12" i="4"/>
  <c r="F12" i="4"/>
  <c r="B12" i="4"/>
  <c r="B11" i="4"/>
  <c r="B10" i="4"/>
  <c r="L9" i="4"/>
  <c r="F9" i="4"/>
  <c r="B9" i="4"/>
  <c r="A2" i="4"/>
  <c r="A1" i="4"/>
  <c r="A2" i="3"/>
  <c r="A1" i="3"/>
  <c r="A2" i="1"/>
  <c r="A1" i="1"/>
  <c r="B10" i="25" l="1"/>
  <c r="Y3" i="25"/>
  <c r="AM4" i="25"/>
  <c r="AM3" i="25"/>
  <c r="AM2" i="25"/>
  <c r="L12" i="9"/>
  <c r="B13" i="25" s="1"/>
  <c r="B2" i="25"/>
  <c r="AJ2" i="25"/>
  <c r="E24" i="4"/>
  <c r="AI3" i="25"/>
  <c r="Y4" i="25"/>
  <c r="AJ3" i="25"/>
  <c r="E25" i="4"/>
  <c r="AI4" i="25"/>
  <c r="Y5" i="25"/>
  <c r="AJ4" i="25"/>
  <c r="AI6" i="25"/>
  <c r="Y2" i="25"/>
  <c r="AI5" i="25"/>
  <c r="AJ6" i="25"/>
  <c r="AJ5" i="25"/>
  <c r="M12" i="5" l="1"/>
  <c r="M9" i="6"/>
  <c r="M9" i="8"/>
  <c r="D12" i="8"/>
  <c r="D9" i="5"/>
  <c r="I9" i="4"/>
  <c r="D9" i="8"/>
  <c r="J12" i="5"/>
</calcChain>
</file>

<file path=xl/sharedStrings.xml><?xml version="1.0" encoding="utf-8"?>
<sst xmlns="http://schemas.openxmlformats.org/spreadsheetml/2006/main" count="5699" uniqueCount="1446">
  <si>
    <t>Start Here</t>
  </si>
  <si>
    <t>Overview</t>
  </si>
  <si>
    <t>Exec Dashboard</t>
  </si>
  <si>
    <t>Ops Dashboard</t>
  </si>
  <si>
    <t>Inputs</t>
  </si>
  <si>
    <t>Welcome. This workbook is a macro-free, white-label UAT command pack with embedded dummy data. Use it to plan, control, evidence, report and close UAT. Start on the Branding &amp; Setup tab, then review User Guidance, Dashboards, and the core input sheets. When ready for live use, duplicate the file and clear the demo data on the input tabs.</t>
  </si>
  <si>
    <t>Quick Start</t>
  </si>
  <si>
    <t>Workbook Areas</t>
  </si>
  <si>
    <t>Data Conventions</t>
  </si>
  <si>
    <t>1. Update the organisation, programme, release, and report date on Branding &amp; Setup.</t>
  </si>
  <si>
    <t>Dashboards</t>
  </si>
  <si>
    <t>Live dashboard views for sponsor, operational, quality and readiness reviews.</t>
  </si>
  <si>
    <t>Blue font = user-editable input</t>
  </si>
  <si>
    <t>2. Review the readiness, status and business-area lists to align to your delivery context.</t>
  </si>
  <si>
    <t>Plan, readiness, scenario, execution, defect, issue, risk and sign-off capture.</t>
  </si>
  <si>
    <t>Grey cells = formulas / helper logic</t>
  </si>
  <si>
    <t>3. Read the guidance tab before editing live data so your team uses the same control model.</t>
  </si>
  <si>
    <t>Guidance</t>
  </si>
  <si>
    <t>Embedded delivery guidance, conventions and usage notes.</t>
  </si>
  <si>
    <t>Green highlights = positive / complete</t>
  </si>
  <si>
    <t>4. Use the dashboards to show stakeholders how the dummy data flows through the tool.</t>
  </si>
  <si>
    <t>White Label</t>
  </si>
  <si>
    <t>Dynamic organisation/programme references and neutral styling.</t>
  </si>
  <si>
    <t>Amber highlights = caution / in progress</t>
  </si>
  <si>
    <t>5. When ready, duplicate the workbook and clear input tabs for live use.</t>
  </si>
  <si>
    <t>Red highlights = blocker / overdue / critical</t>
  </si>
  <si>
    <t>Quick Navigation</t>
  </si>
  <si>
    <t>Set Up</t>
  </si>
  <si>
    <t>Core Inputs</t>
  </si>
  <si>
    <t>Control Logs</t>
  </si>
  <si>
    <t>Close Out</t>
  </si>
  <si>
    <t>Branding &amp; Setup</t>
  </si>
  <si>
    <t>Executive Dashboard</t>
  </si>
  <si>
    <t>UAT Plan</t>
  </si>
  <si>
    <t>Defect Log</t>
  </si>
  <si>
    <t>Status Report Input</t>
  </si>
  <si>
    <t>User Guidance</t>
  </si>
  <si>
    <t>Operational Dashboard</t>
  </si>
  <si>
    <t>Readiness Checklist</t>
  </si>
  <si>
    <t>Issue Log</t>
  </si>
  <si>
    <t>Exit &amp; Sign-Off</t>
  </si>
  <si>
    <t>UAT Overview</t>
  </si>
  <si>
    <t>Defect &amp; Quality</t>
  </si>
  <si>
    <t>Scenario Register</t>
  </si>
  <si>
    <t>Risk &amp; Assumptions</t>
  </si>
  <si>
    <t>Lessons Learned</t>
  </si>
  <si>
    <t>Readiness Dashboard</t>
  </si>
  <si>
    <t>Execution Tracker</t>
  </si>
  <si>
    <t>Decision Log</t>
  </si>
  <si>
    <t>About &amp; Attribution</t>
  </si>
  <si>
    <t>How to Demonstrate the Workbook</t>
  </si>
  <si>
    <t>1. Open Executive Dashboard to show overall readiness, execution, defect and sign-off confidence.</t>
  </si>
  <si>
    <t>2. Drill into Operational Dashboard to show daily volumes, tester activity and backlog pressure.</t>
  </si>
  <si>
    <t>3. Open Readiness Checklist and Execution Tracker to show how underlying data feeds the dashboards.</t>
  </si>
  <si>
    <t>4. Open Defect Log and Risk &amp; Assumptions to show governance control and evidence trail.</t>
  </si>
  <si>
    <t>5. Finish on Exit &amp; Sign-Off to show how operational data rolls into go / no-go decision support.</t>
  </si>
  <si>
    <t>White-Label UAT Delivery Command Workbook</t>
  </si>
  <si>
    <t>Update the highlighted inputs on this tab to personalise the workbook for your organisation. All major title bands and reporting references pull from these cells.</t>
  </si>
  <si>
    <t>Purpose: this tab controls workbook identity, reporting dates, thresholds, and dropdown values. Change the organisation, programme, release and report date first. Then review threshold settings and list values before replacing dummy data with live content. This workbook contains no VBA or macros.</t>
  </si>
  <si>
    <t>Core Identity Inputs</t>
  </si>
  <si>
    <t>White-Label Guidance</t>
  </si>
  <si>
    <t>Organisation Name</t>
  </si>
  <si>
    <t>Northbridge Citizens Services</t>
  </si>
  <si>
    <t>1. Update cells B9:B17 with your organisation, programme, dates and contacts.</t>
  </si>
  <si>
    <t>Programme / Project</t>
  </si>
  <si>
    <t>Service Transformation Programme</t>
  </si>
  <si>
    <t>2. Replace the logo placeholder below with your internal logo if required.</t>
  </si>
  <si>
    <t>Release / Wave</t>
  </si>
  <si>
    <t>Release 2 - Case Management &amp; Appointments</t>
  </si>
  <si>
    <t>3. Recolour the dark title bands and dashboard cards once using your house style, then use Format Painter if you want a fully branded version.</t>
  </si>
  <si>
    <t>Report Date</t>
  </si>
  <si>
    <t>4. Review thresholds and dropdown values on this tab before clearing dummy data.</t>
  </si>
  <si>
    <t>UAT Start Date</t>
  </si>
  <si>
    <t>5. Duplicate the workbook before going live so the demo version remains intact.</t>
  </si>
  <si>
    <t>Target Sign-Off Date</t>
  </si>
  <si>
    <t>Primary Contact</t>
  </si>
  <si>
    <t>uat.office@example.org</t>
  </si>
  <si>
    <t>[Insert organisation logo here]</t>
  </si>
  <si>
    <t>Business Sponsor</t>
  </si>
  <si>
    <t>Chloe Morgan</t>
  </si>
  <si>
    <t>UAT Lead</t>
  </si>
  <si>
    <t>Aisha Khan</t>
  </si>
  <si>
    <t>Thresholds and Tolerances</t>
  </si>
  <si>
    <t>Deployment Notes</t>
  </si>
  <si>
    <t>Readiness Amber Threshold</t>
  </si>
  <si>
    <t>Blue-font cells are intended for user input.</t>
  </si>
  <si>
    <t>Readiness Green Threshold</t>
  </si>
  <si>
    <t>Grey cells and most dashboard values are formula-driven.</t>
  </si>
  <si>
    <t>Execution Amber Threshold</t>
  </si>
  <si>
    <t>Use the hidden 'Lists' sheet only if you need to extend dropdown lists.</t>
  </si>
  <si>
    <t>Execution Green Threshold</t>
  </si>
  <si>
    <t>The hidden 'Dashboard Data' sheet stores chart calculations.</t>
  </si>
  <si>
    <t>Exit Amber Threshold</t>
  </si>
  <si>
    <t>No macros, VBA, or external links are included in this workbook.</t>
  </si>
  <si>
    <t>Exit Green Threshold</t>
  </si>
  <si>
    <t>Open Critical Defect Tolerance</t>
  </si>
  <si>
    <t>Open High Defect Tolerance</t>
  </si>
  <si>
    <t>Suggested First-Day Actions</t>
  </si>
  <si>
    <t>Update organisation, release and report date</t>
  </si>
  <si>
    <t>Done</t>
  </si>
  <si>
    <t>Confirm readiness categories and business areas</t>
  </si>
  <si>
    <t>Review threshold settings</t>
  </si>
  <si>
    <t>Hide About tab if not needed internally</t>
  </si>
  <si>
    <t>Pending</t>
  </si>
  <si>
    <t>Clear demo data for live deployment</t>
  </si>
  <si>
    <t>This tab embeds best-practice guidance so the workbook can stand alone as a delivery aid. The intent is to help teams run UAT as a controlled business acceptance process rather than a loose testing exercise. Use the sections below during mobilisation, daily control, triage, sign-off preparation, and lessons learned.</t>
  </si>
  <si>
    <t>UAT Purpose</t>
  </si>
  <si>
    <t>UAT confirms that the solution supports real business outcomes, operational controls, and acceptable residual risk. It is not a substitute for SIT or technical testing. Business users should execute meaningful journeys, challenge edge cases, and provide evidence that the release is ready to operate.</t>
  </si>
  <si>
    <t>What Good UAT Looks Like</t>
  </si>
  <si>
    <t>Good UAT has agreed scope, traceability, named owners, realistic data, clear defect triage, visible dashboards, and explicit entry/exit criteria. Daily control should show what ran, what passed, what failed, what blocked execution, and what decisions are required.</t>
  </si>
  <si>
    <t>Common Failure Modes</t>
  </si>
  <si>
    <t>Typical failure patterns include weak readiness criteria, late script preparation, poor business attendance, unclear defect severity definitions, no contingency for data or environment failure, and sign-off discussions starting too late. This workbook is designed to surface those risks early.</t>
  </si>
  <si>
    <t>Daily Operating Rhythm</t>
  </si>
  <si>
    <t>Recommended cadence: daily stand-up (execution progress, blockers, action owners), daily defect triage (severity, priority, workaround, fix dates), weekly readiness/governance review, and formal sign-off checkpoint. Use the dashboards to support all of these forums.</t>
  </si>
  <si>
    <t>Readiness Guidance</t>
  </si>
  <si>
    <t>Do not treat readiness as a one-off gateway. Review it repeatedly by category, owner and blocker. Mandatory items should be evidenced, not assumed complete. If the workbook shows weak readiness in data, access or tester readiness, expect execution efficiency to degrade.</t>
  </si>
  <si>
    <t>Defect Triage Guidance</t>
  </si>
  <si>
    <t>Separate severity (business impact) from priority (delivery urgency). Triage should confirm reproducibility, owner, target fix date, workaround, and whether execution can continue. Avoid leaving defects open without an agreed business containment position.</t>
  </si>
  <si>
    <t>Execution Guidance</t>
  </si>
  <si>
    <t>Use the Execution Tracker as the daily operational control point. Record the scenario, tester, status, linked defect/issue, and retest need. If execution volume drops, inspect tester readiness, blocker issues, and environment/data dependencies before simply asking for more effort.</t>
  </si>
  <si>
    <t>Sign-Off Guidance</t>
  </si>
  <si>
    <t>Sign-off should be evidence-led. Review mandatory exit criteria, open critical/high defects, residual risks, late milestones, unresolved blockers, and any accepted workarounds. A recommendation can be amber if leadership consciously accepts residual risk.</t>
  </si>
  <si>
    <t>White-Label / Internal Deployment Guidance</t>
  </si>
  <si>
    <t>This workbook is intentionally neutral and macro-free. Update the Branding &amp; Setup tab first. If your organisation requires specific colours or logos, apply them to the title bands and dashboard cards after confirming the structure works for your process.</t>
  </si>
  <si>
    <t>Practical Tips by Role</t>
  </si>
  <si>
    <t>Own cadence, thresholds, and escalation. Keep the dashboards honest and do not hide blockers.</t>
  </si>
  <si>
    <t>Business Analyst</t>
  </si>
  <si>
    <t>Maintain traceability, clarify acceptance criteria, and support meaningful evidence capture.</t>
  </si>
  <si>
    <t>Service / Operations Lead</t>
  </si>
  <si>
    <t>Validate operational realism, business capacity, and workaround acceptability.</t>
  </si>
  <si>
    <t>PMO / Governance</t>
  </si>
  <si>
    <t>Track decision dates, overdue actions, and sign-off evidence completeness.</t>
  </si>
  <si>
    <t>This is the operating summary page for the workbook. Use it to orient new users, review the current state, and jump into the detailed dashboards or logs. The sheet blends project context, live KPIs and a simple management summary without requiring users to understand every source tab.</t>
  </si>
  <si>
    <t>Programme Snapshot</t>
  </si>
  <si>
    <t>Overall Readiness</t>
  </si>
  <si>
    <t>Execution Coverage</t>
  </si>
  <si>
    <t>Exit Readiness</t>
  </si>
  <si>
    <t>Organisation</t>
  </si>
  <si>
    <t>Programme</t>
  </si>
  <si>
    <t>Release</t>
  </si>
  <si>
    <t>Pass Rate</t>
  </si>
  <si>
    <t>Open Critical Defects</t>
  </si>
  <si>
    <t>Open Issues</t>
  </si>
  <si>
    <t>Target Sign-Off</t>
  </si>
  <si>
    <t>Management Summary</t>
  </si>
  <si>
    <t>Use the KPI cards above as the entry point: readiness shows how well the programme is set up, execution coverage shows how much of scope has actually been run, and exit readiness shows how close the programme is to a defensible sign-off recommendation. Use the dashboard tabs for deeper analysis and the control logs for evidence.</t>
  </si>
  <si>
    <t>Milestone Health</t>
  </si>
  <si>
    <t>Latest Reporting Snapshot</t>
  </si>
  <si>
    <t>Milestone</t>
  </si>
  <si>
    <t>Planned</t>
  </si>
  <si>
    <t>Actual</t>
  </si>
  <si>
    <t>Status</t>
  </si>
  <si>
    <t>Days Slip</t>
  </si>
  <si>
    <t>Dependency</t>
  </si>
  <si>
    <t>Comments</t>
  </si>
  <si>
    <t>Period</t>
  </si>
  <si>
    <t>Week 4: 11 Mar - 15 Mar 2026</t>
  </si>
  <si>
    <t>UAT mobilisation complete</t>
  </si>
  <si>
    <t>None</t>
  </si>
  <si>
    <t>Achievements</t>
  </si>
  <si>
    <t>Expanded coverage into exception and reporting scenarios.</t>
  </si>
  <si>
    <t>Entry criteria drafted</t>
  </si>
  <si>
    <t>Next Steps</t>
  </si>
  <si>
    <t>Prepare sign-off evidence pack and residual risk summary.</t>
  </si>
  <si>
    <t>Environment ready</t>
  </si>
  <si>
    <t>Blockers</t>
  </si>
  <si>
    <t>Reporting extracts still require validation.</t>
  </si>
  <si>
    <t>Script pack approved</t>
  </si>
  <si>
    <t>Environment</t>
  </si>
  <si>
    <t>Top Risks</t>
  </si>
  <si>
    <t>Data refresh timing remains a dependency.</t>
  </si>
  <si>
    <t>Wave 1 start</t>
  </si>
  <si>
    <t>Business availability</t>
  </si>
  <si>
    <t>Decisions Required</t>
  </si>
  <si>
    <t>Confirm whether to extend re-test window.</t>
  </si>
  <si>
    <t>Wave 1 checkpoint</t>
  </si>
  <si>
    <t>Confidence</t>
  </si>
  <si>
    <t>Amber</t>
  </si>
  <si>
    <t>Wave 1 exit</t>
  </si>
  <si>
    <t>Wave 2 start</t>
  </si>
  <si>
    <t>Dependency requires leadership attention.</t>
  </si>
  <si>
    <t>This dashboard is designed for sponsors, programme leads and governance forums. It translates detailed UAT control data into a concise view of readiness, execution, defect position, sign-off confidence and current delivery pressure.</t>
  </si>
  <si>
    <t>Open High Defects</t>
  </si>
  <si>
    <t>Open Risks</t>
  </si>
  <si>
    <t>Ready Testers</t>
  </si>
  <si>
    <t>Late Milestones</t>
  </si>
  <si>
    <t>Executive Commentary</t>
  </si>
  <si>
    <t>Interpretation guide: high readiness with low execution means the programme is prepared but still early in cycle. High execution with weak pass rate or rising critical defects means control needs to focus on quality and triage throughput. Exit readiness should not move to green while critical blockers, open critical defects or unresolved sign-off conditions remain.</t>
  </si>
  <si>
    <t>Executive Use Notes</t>
  </si>
  <si>
    <t>Suggested forum use: Executive dashboard for weekly governance, Operational dashboard for daily control, Defect &amp; Quality for triage, Readiness dashboard for entry/exit reviews. Keep the report date current on Branding &amp; Setup so ageing, overdue and slippage indicators remain accurate.</t>
  </si>
  <si>
    <t>This dashboard is for the daily UAT control room. It focuses on execution throughput, backlog pressure, tester activity, blocked work and milestone pressure. Use it in stand-ups, triage meetings and end-of-day reviews.</t>
  </si>
  <si>
    <t>Total Scenarios</t>
  </si>
  <si>
    <t>Scenarios Executed</t>
  </si>
  <si>
    <t>Execution Records</t>
  </si>
  <si>
    <t>Retest Pending</t>
  </si>
  <si>
    <t>Passed</t>
  </si>
  <si>
    <t>Failed</t>
  </si>
  <si>
    <t>Blocked</t>
  </si>
  <si>
    <t>Deferred</t>
  </si>
  <si>
    <t>Overdue Issues</t>
  </si>
  <si>
    <t>Operational Commentary</t>
  </si>
  <si>
    <t>Use this page to understand whether the team is moving through scope at the planned pace. Watch retest pending, blocked executions and late milestones together: if all three rise, the defect/decision pipeline is not clearing quickly enough.</t>
  </si>
  <si>
    <t>Daily Control Questions</t>
  </si>
  <si>
    <t>Have we executed the critical-path scenarios planned for today? Which blockers prevented progress? Which defects need business or technical triage? Which testers are under-utilised because of readiness or access issues? Are late milestones compressing the remaining execution and retest window?</t>
  </si>
  <si>
    <t>Use this dashboard for defect triage, quality reviews and escalation discussions. It highlights severity mix, open backlog, ageing pressure, root causes and whether the defect pipeline is clearing quickly enough to support sign-off.</t>
  </si>
  <si>
    <t>Open Defects</t>
  </si>
  <si>
    <t>Open Critical</t>
  </si>
  <si>
    <t>Open High</t>
  </si>
  <si>
    <t>Target Breaches</t>
  </si>
  <si>
    <t>Blocked Rate</t>
  </si>
  <si>
    <t>Quality Commentary</t>
  </si>
  <si>
    <t>Use this page to check whether defect volume is stabilising and whether the backlog is moving toward an acceptable residual-risk position. Ageing and target-breach indicators matter as much as the raw defect count because they show whether the control process is actually working.</t>
  </si>
  <si>
    <t>Triage Questions</t>
  </si>
  <si>
    <t>Which defects genuinely block business acceptance? Which items have workarounds that are acceptable? Where are breaches caused by waiting for triage rather than waiting for fixes? Which root causes point to repeatable delivery problems that should feed lessons learned?</t>
  </si>
  <si>
    <t>This dashboard should be used before execution starts and whenever progress drops unexpectedly. It shows whether planning, data, access, scripts, testers and governance are truly ready. Poor readiness usually appears here before it shows up as blocked execution.</t>
  </si>
  <si>
    <t>Overdue Readiness Items</t>
  </si>
  <si>
    <t>Readiness Commentary</t>
  </si>
  <si>
    <t>When execution slows down, inspect readiness before asking the team to work harder. Weak training, incomplete access, fragile data and poor script ownership almost always surface as blocked or deferred execution later on. This page helps show the upstream cause.</t>
  </si>
  <si>
    <t>Entry / Exit Review Prompts</t>
  </si>
  <si>
    <t>What is incomplete, and does it matter? Which incomplete items are mandatory? Which blockers have named owners and realistic dates? Are business users, data and environment all ready for the next wave? Are any 'green' indicators masking evidence gaps or untested workarounds?</t>
  </si>
  <si>
    <t>Use this sheet to maintain the master UAT milestone plan. Track planned and actual dates, owners, dependencies, slippage, and whether each milestone is complete, in progress, at risk or not started. The days-slip and late-flag columns are formula-driven using the report date on the Branding &amp; Setup tab.</t>
  </si>
  <si>
    <t>Phase</t>
  </si>
  <si>
    <t>Wave / Cycle</t>
  </si>
  <si>
    <t>Description</t>
  </si>
  <si>
    <t>Planned Date</t>
  </si>
  <si>
    <t>Actual Date</t>
  </si>
  <si>
    <t>Owner</t>
  </si>
  <si>
    <t>Late Flag</t>
  </si>
  <si>
    <t>Mobilise</t>
  </si>
  <si>
    <t>Wave 0</t>
  </si>
  <si>
    <t>Agree governance, scope owners, and planning baseline</t>
  </si>
  <si>
    <t>Nadia Shah</t>
  </si>
  <si>
    <t>Complete</t>
  </si>
  <si>
    <t>Prepare</t>
  </si>
  <si>
    <t>Baseline readiness criteria and evidence expectations</t>
  </si>
  <si>
    <t>Confirm environment, access, and data readiness</t>
  </si>
  <si>
    <t>Approve critical-path scenarios and evidence model</t>
  </si>
  <si>
    <t>Execute</t>
  </si>
  <si>
    <t>Wave 1</t>
  </si>
  <si>
    <t>Start core journey execution</t>
  </si>
  <si>
    <t>Review pass/fail/block trends</t>
  </si>
  <si>
    <t>Jessica Reed</t>
  </si>
  <si>
    <t>Close or defer remaining Wave 1 items</t>
  </si>
  <si>
    <t>Laura Green</t>
  </si>
  <si>
    <t>Wave 2</t>
  </si>
  <si>
    <t>Start exception and finance execution</t>
  </si>
  <si>
    <t>At Risk</t>
  </si>
  <si>
    <t>Wave 2 checkpoint</t>
  </si>
  <si>
    <t>Review blocked items and retest pipeline</t>
  </si>
  <si>
    <t>Data</t>
  </si>
  <si>
    <t>Wave 2 exit</t>
  </si>
  <si>
    <t>Stabilise defect backlog for reporting wave</t>
  </si>
  <si>
    <t>Karl Bennett</t>
  </si>
  <si>
    <t>Wave 3</t>
  </si>
  <si>
    <t>Wave 3 reporting start</t>
  </si>
  <si>
    <t>Execute MI and reporting scenarios</t>
  </si>
  <si>
    <t>Re-test window</t>
  </si>
  <si>
    <t>Complete critical retest activity</t>
  </si>
  <si>
    <t>Ibrahim Ali</t>
  </si>
  <si>
    <t>Closure</t>
  </si>
  <si>
    <t>Close Down</t>
  </si>
  <si>
    <t>Exit criteria review</t>
  </si>
  <si>
    <t>Validate sign-off evidence and residual risks</t>
  </si>
  <si>
    <t>In Progress</t>
  </si>
  <si>
    <t>Business sign-off</t>
  </si>
  <si>
    <t>Obtain approval from nominated approvers</t>
  </si>
  <si>
    <t>Not Started</t>
  </si>
  <si>
    <t>Lessons learned</t>
  </si>
  <si>
    <t>Run retrospective and improvement capture</t>
  </si>
  <si>
    <t>Ben Carter</t>
  </si>
  <si>
    <t>Define what is and is not in scope for UAT. Keep requirement references, business area ownership, rationale and scope type visible so you can defend test coverage decisions. The Scenarios Linked column shows how many scenarios currently reference each requirement.</t>
  </si>
  <si>
    <t>Scope ID</t>
  </si>
  <si>
    <t>Business Process</t>
  </si>
  <si>
    <t>Requirement ID</t>
  </si>
  <si>
    <t>Process Area</t>
  </si>
  <si>
    <t>Business Area</t>
  </si>
  <si>
    <t>Scope Type</t>
  </si>
  <si>
    <t>Rationale</t>
  </si>
  <si>
    <t>Scenarios Linked</t>
  </si>
  <si>
    <t>SCO-001</t>
  </si>
  <si>
    <t>Case Intake - Core journey</t>
  </si>
  <si>
    <t>REQ-001</t>
  </si>
  <si>
    <t>Case Intake</t>
  </si>
  <si>
    <t>Contact Centre</t>
  </si>
  <si>
    <t>In Scope</t>
  </si>
  <si>
    <t>Case Intake capability supporting contact centre workflows and audit-ready evidence capture.</t>
  </si>
  <si>
    <t>Included in release scope to support the operating model and target-state process controls.</t>
  </si>
  <si>
    <t>SCO-002</t>
  </si>
  <si>
    <t>Case Update - Core journey</t>
  </si>
  <si>
    <t>REQ-002</t>
  </si>
  <si>
    <t>Case Update</t>
  </si>
  <si>
    <t>Case Management</t>
  </si>
  <si>
    <t>Case Update capability supporting case management workflows and audit-ready evidence capture.</t>
  </si>
  <si>
    <t>SCO-003</t>
  </si>
  <si>
    <t>Work Allocation - Exception journey</t>
  </si>
  <si>
    <t>REQ-003</t>
  </si>
  <si>
    <t>Work Allocation</t>
  </si>
  <si>
    <t>Field Operations</t>
  </si>
  <si>
    <t>Work Allocation capability supporting field operations workflows and audit-ready evidence capture.</t>
  </si>
  <si>
    <t>Emily Foster</t>
  </si>
  <si>
    <t>SCO-004</t>
  </si>
  <si>
    <t>Debt Review - Core journey</t>
  </si>
  <si>
    <t>REQ-004</t>
  </si>
  <si>
    <t>Debt Review</t>
  </si>
  <si>
    <t>Finance &amp; Billing</t>
  </si>
  <si>
    <t>Debt Review capability supporting finance &amp; billing workflows and audit-ready evidence capture.</t>
  </si>
  <si>
    <t>SCO-005</t>
  </si>
  <si>
    <t>Operational Reporting - Core journey</t>
  </si>
  <si>
    <t>REQ-005</t>
  </si>
  <si>
    <t>Operational Reporting</t>
  </si>
  <si>
    <t>Reporting &amp; MI</t>
  </si>
  <si>
    <t>Operational Reporting capability supporting reporting &amp; mi workflows and audit-ready evidence capture.</t>
  </si>
  <si>
    <t>High regulatory visibility.</t>
  </si>
  <si>
    <t>SCO-006</t>
  </si>
  <si>
    <t>Identity &amp; Eligibility - Exception journey</t>
  </si>
  <si>
    <t>REQ-006</t>
  </si>
  <si>
    <t>Identity &amp; Eligibility</t>
  </si>
  <si>
    <t>Identity &amp; Eligibility capability supporting contact centre workflows and audit-ready evidence capture.</t>
  </si>
  <si>
    <t>SCO-007</t>
  </si>
  <si>
    <t>Complaint Handling - Core journey</t>
  </si>
  <si>
    <t>REQ-007</t>
  </si>
  <si>
    <t>Complaint Handling</t>
  </si>
  <si>
    <t>Complaint Handling capability supporting case management workflows and audit-ready evidence capture.</t>
  </si>
  <si>
    <t>SCO-008</t>
  </si>
  <si>
    <t>Mobile Updates - Core journey</t>
  </si>
  <si>
    <t>REQ-008</t>
  </si>
  <si>
    <t>Mobile Updates</t>
  </si>
  <si>
    <t>Mobile Updates capability supporting field operations workflows and audit-ready evidence capture.</t>
  </si>
  <si>
    <t>SCO-009</t>
  </si>
  <si>
    <t>Charges &amp; Payments - Exception journey</t>
  </si>
  <si>
    <t>REQ-009</t>
  </si>
  <si>
    <t>Charges &amp; Payments</t>
  </si>
  <si>
    <t>Charges &amp; Payments capability supporting finance &amp; billing workflows and audit-ready evidence capture.</t>
  </si>
  <si>
    <t>SCO-010</t>
  </si>
  <si>
    <t>Regulatory Reporting - Core journey</t>
  </si>
  <si>
    <t>REQ-010</t>
  </si>
  <si>
    <t>Regulatory Reporting</t>
  </si>
  <si>
    <t>Regulatory Reporting capability supporting reporting &amp; mi workflows and audit-ready evidence capture.</t>
  </si>
  <si>
    <t>SCO-011</t>
  </si>
  <si>
    <t>Call Handling - Core journey</t>
  </si>
  <si>
    <t>REQ-011</t>
  </si>
  <si>
    <t>Call Handling</t>
  </si>
  <si>
    <t>Call Handling capability supporting contact centre workflows and audit-ready evidence capture.</t>
  </si>
  <si>
    <t>Farah Malik</t>
  </si>
  <si>
    <t>SCO-012</t>
  </si>
  <si>
    <t>Escalations - Exception journey</t>
  </si>
  <si>
    <t>REQ-012</t>
  </si>
  <si>
    <t>Escalations</t>
  </si>
  <si>
    <t>Escalations capability supporting case management workflows and audit-ready evidence capture.</t>
  </si>
  <si>
    <t>SCO-013</t>
  </si>
  <si>
    <t>Appointment Booking - Core journey</t>
  </si>
  <si>
    <t>REQ-013</t>
  </si>
  <si>
    <t>Appointment Booking</t>
  </si>
  <si>
    <t>Appointment Booking capability supporting field operations workflows and audit-ready evidence capture.</t>
  </si>
  <si>
    <t>SCO-014</t>
  </si>
  <si>
    <t>Adjustments - Core journey</t>
  </si>
  <si>
    <t>REQ-014</t>
  </si>
  <si>
    <t>Adjustments</t>
  </si>
  <si>
    <t>Adjustments capability supporting finance &amp; billing workflows and audit-ready evidence capture.</t>
  </si>
  <si>
    <t>SCO-015</t>
  </si>
  <si>
    <t>Dashboard Refresh - Exception journey</t>
  </si>
  <si>
    <t>REQ-015</t>
  </si>
  <si>
    <t>Dashboard Refresh</t>
  </si>
  <si>
    <t>Dashboard Refresh capability supporting reporting &amp; mi workflows and audit-ready evidence capture.</t>
  </si>
  <si>
    <t>SCO-016</t>
  </si>
  <si>
    <t>Case Routing - Core journey</t>
  </si>
  <si>
    <t>REQ-016</t>
  </si>
  <si>
    <t>Case Routing</t>
  </si>
  <si>
    <t>Case Routing capability supporting contact centre workflows and audit-ready evidence capture.</t>
  </si>
  <si>
    <t>SCO-017</t>
  </si>
  <si>
    <t>Case Creation - Core journey</t>
  </si>
  <si>
    <t>REQ-017</t>
  </si>
  <si>
    <t>Case Creation</t>
  </si>
  <si>
    <t>Case Creation capability supporting case management workflows and audit-ready evidence capture.</t>
  </si>
  <si>
    <t>SCO-018</t>
  </si>
  <si>
    <t>Visit Completion - Exception journey</t>
  </si>
  <si>
    <t>REQ-018</t>
  </si>
  <si>
    <t>Visit Completion</t>
  </si>
  <si>
    <t>Visit Completion capability supporting field operations workflows and audit-ready evidence capture.</t>
  </si>
  <si>
    <t>SCO-019</t>
  </si>
  <si>
    <t>Refunds - Core journey</t>
  </si>
  <si>
    <t>REQ-019</t>
  </si>
  <si>
    <t>Refunds</t>
  </si>
  <si>
    <t>Refunds capability supporting finance &amp; billing workflows and audit-ready evidence capture.</t>
  </si>
  <si>
    <t>SCO-020</t>
  </si>
  <si>
    <t>Data Reconciliation - Core journey</t>
  </si>
  <si>
    <t>REQ-020</t>
  </si>
  <si>
    <t>Data Reconciliation</t>
  </si>
  <si>
    <t>Data Reconciliation capability supporting reporting &amp; mi workflows and audit-ready evidence capture.</t>
  </si>
  <si>
    <t>SCO-021</t>
  </si>
  <si>
    <t>Case Intake - Exception journey</t>
  </si>
  <si>
    <t>REQ-021</t>
  </si>
  <si>
    <t>SCO-022</t>
  </si>
  <si>
    <t>REQ-022</t>
  </si>
  <si>
    <t>SCO-023</t>
  </si>
  <si>
    <t>Work Allocation - Core journey</t>
  </si>
  <si>
    <t>REQ-023</t>
  </si>
  <si>
    <t>SCO-024</t>
  </si>
  <si>
    <t>Debt Review - Exception journey</t>
  </si>
  <si>
    <t>REQ-024</t>
  </si>
  <si>
    <t>SCO-025</t>
  </si>
  <si>
    <t>REQ-025</t>
  </si>
  <si>
    <t>Partial</t>
  </si>
  <si>
    <t>SCO-026</t>
  </si>
  <si>
    <t>Identity &amp; Eligibility - Core journey</t>
  </si>
  <si>
    <t>REQ-026</t>
  </si>
  <si>
    <t>SCO-027</t>
  </si>
  <si>
    <t>Complaint Handling - Exception journey</t>
  </si>
  <si>
    <t>REQ-027</t>
  </si>
  <si>
    <t>SCO-028</t>
  </si>
  <si>
    <t>REQ-028</t>
  </si>
  <si>
    <t>Out of Scope</t>
  </si>
  <si>
    <t>Deferred to a later release because upstream dependencies are not available.</t>
  </si>
  <si>
    <t>SCO-029</t>
  </si>
  <si>
    <t>Charges &amp; Payments - Core journey</t>
  </si>
  <si>
    <t>REQ-029</t>
  </si>
  <si>
    <t>SCO-030</t>
  </si>
  <si>
    <t>Regulatory Reporting - Exception journey</t>
  </si>
  <si>
    <t>REQ-030</t>
  </si>
  <si>
    <t>Maintain the named tester population, role coverage, training, access and assignment load here. Scripts Executed, readiness score and ready-for-UAT indicator update automatically from this data and the execution tracker. Use this sheet to identify where business participation or access gaps are constraining progress.</t>
  </si>
  <si>
    <t>Person ID</t>
  </si>
  <si>
    <t>Name</t>
  </si>
  <si>
    <t>Role</t>
  </si>
  <si>
    <t>Tester Type</t>
  </si>
  <si>
    <t>Email</t>
  </si>
  <si>
    <t>Wave Participation</t>
  </si>
  <si>
    <t>Training Completed</t>
  </si>
  <si>
    <t>Access Confirmed</t>
  </si>
  <si>
    <t>Scripts Assigned</t>
  </si>
  <si>
    <t>Scripts Executed</t>
  </si>
  <si>
    <t>Active</t>
  </si>
  <si>
    <t>Readiness Score</t>
  </si>
  <si>
    <t>Ready for UAT</t>
  </si>
  <si>
    <t>P-001</t>
  </si>
  <si>
    <t>Operational Lead</t>
  </si>
  <si>
    <t>aishakhan@example.org</t>
  </si>
  <si>
    <t>Wave 1 - Core Journeys</t>
  </si>
  <si>
    <t>No</t>
  </si>
  <si>
    <t>Yes</t>
  </si>
  <si>
    <t>P-002</t>
  </si>
  <si>
    <t>bencarter@example.org</t>
  </si>
  <si>
    <t>P-003</t>
  </si>
  <si>
    <t>Service Manager</t>
  </si>
  <si>
    <t>Product Owner</t>
  </si>
  <si>
    <t>chloemorgan@example.org</t>
  </si>
  <si>
    <t>P-004</t>
  </si>
  <si>
    <t>Daniel Hughes</t>
  </si>
  <si>
    <t>SME</t>
  </si>
  <si>
    <t>danielhughes@example.org</t>
  </si>
  <si>
    <t>Wave 2 - Exceptions</t>
  </si>
  <si>
    <t>P-005</t>
  </si>
  <si>
    <t>emilyfoster@example.org</t>
  </si>
  <si>
    <t>P-006</t>
  </si>
  <si>
    <t>Operations Lead</t>
  </si>
  <si>
    <t>farahmalik@example.org</t>
  </si>
  <si>
    <t>P-007</t>
  </si>
  <si>
    <t>Gareth Evans</t>
  </si>
  <si>
    <t>garethevans@example.org</t>
  </si>
  <si>
    <t>Wave 3 - Reporting &amp; Close Down</t>
  </si>
  <si>
    <t>P-008</t>
  </si>
  <si>
    <t>Hannah Price</t>
  </si>
  <si>
    <t>hannahprice@example.org</t>
  </si>
  <si>
    <t>P-009</t>
  </si>
  <si>
    <t>Training Lead</t>
  </si>
  <si>
    <t>Business Tester</t>
  </si>
  <si>
    <t>ibrahimali@example.org</t>
  </si>
  <si>
    <t>Reserve cover tester.</t>
  </si>
  <si>
    <t>P-010</t>
  </si>
  <si>
    <t>PMO Analyst</t>
  </si>
  <si>
    <t>jessicareed@example.org</t>
  </si>
  <si>
    <t>P-011</t>
  </si>
  <si>
    <t>Test Coordinator</t>
  </si>
  <si>
    <t>karlbennett@example.org</t>
  </si>
  <si>
    <t>P-012</t>
  </si>
  <si>
    <t>lauragreen@example.org</t>
  </si>
  <si>
    <t>P-013</t>
  </si>
  <si>
    <t>Marcus Hall</t>
  </si>
  <si>
    <t>marcushall@example.org</t>
  </si>
  <si>
    <t>P-014</t>
  </si>
  <si>
    <t>nadiashah@example.org</t>
  </si>
  <si>
    <t>P-015</t>
  </si>
  <si>
    <t>Owen Turner</t>
  </si>
  <si>
    <t>owenturner@example.org</t>
  </si>
  <si>
    <t>P-016</t>
  </si>
  <si>
    <t>Priya Singh</t>
  </si>
  <si>
    <t>priyasingh@example.org</t>
  </si>
  <si>
    <t>P-017</t>
  </si>
  <si>
    <t>Quentin Ross</t>
  </si>
  <si>
    <t>quentinross@example.org</t>
  </si>
  <si>
    <t>P-018</t>
  </si>
  <si>
    <t>Ruth Adams</t>
  </si>
  <si>
    <t>ruthadams@example.org</t>
  </si>
  <si>
    <t>Track readiness dependencies across environment, access, data, integration and tooling. This sheet is especially useful during mobilisation and for investigating blocked execution. Use the blocker flag and due-date logic to make hidden dependencies visible before they slow down daily progress.</t>
  </si>
  <si>
    <t>Item ID</t>
  </si>
  <si>
    <t>Category</t>
  </si>
  <si>
    <t>Item Description</t>
  </si>
  <si>
    <t>Planned Ready Date</t>
  </si>
  <si>
    <t>Actual Ready Date</t>
  </si>
  <si>
    <t>Blocker</t>
  </si>
  <si>
    <t>Impact</t>
  </si>
  <si>
    <t>Mitigation</t>
  </si>
  <si>
    <t>Overdue</t>
  </si>
  <si>
    <t>ENV-001</t>
  </si>
  <si>
    <t>Application code deployed</t>
  </si>
  <si>
    <t>Low</t>
  </si>
  <si>
    <t>Re-sequence affected scripts</t>
  </si>
  <si>
    <t>ENV-002</t>
  </si>
  <si>
    <t>Batch scheduler available</t>
  </si>
  <si>
    <t>Medium</t>
  </si>
  <si>
    <t>ENV-003</t>
  </si>
  <si>
    <t>Background services running</t>
  </si>
  <si>
    <t>ENV-004</t>
  </si>
  <si>
    <t>Search index refreshed</t>
  </si>
  <si>
    <t>Track via daily control</t>
  </si>
  <si>
    <t>ENV-005</t>
  </si>
  <si>
    <t>Interface end-points available</t>
  </si>
  <si>
    <t>ENV-006</t>
  </si>
  <si>
    <t>Access</t>
  </si>
  <si>
    <t>Tester security roles provisioned</t>
  </si>
  <si>
    <t>Use interim workaround</t>
  </si>
  <si>
    <t>ENV-007</t>
  </si>
  <si>
    <t>Shared mailbox access granted</t>
  </si>
  <si>
    <t>High</t>
  </si>
  <si>
    <t>ENV-008</t>
  </si>
  <si>
    <t>Admin support access confirmed</t>
  </si>
  <si>
    <t>ENV-009</t>
  </si>
  <si>
    <t>Report folder permissions granted</t>
  </si>
  <si>
    <t>ENV-010</t>
  </si>
  <si>
    <t>Mobile device access enabled</t>
  </si>
  <si>
    <t>ENV-011</t>
  </si>
  <si>
    <t>Golden path dataset loaded</t>
  </si>
  <si>
    <t>ENV-012</t>
  </si>
  <si>
    <t>Edge-case data seeded</t>
  </si>
  <si>
    <t>Escalate to supplier</t>
  </si>
  <si>
    <t>ENV-013</t>
  </si>
  <si>
    <t>Historical cases available</t>
  </si>
  <si>
    <t>ENV-014</t>
  </si>
  <si>
    <t>Outstanding balance dataset loaded</t>
  </si>
  <si>
    <t>ENV-015</t>
  </si>
  <si>
    <t>Reference tables reconciled</t>
  </si>
  <si>
    <t>ENV-016</t>
  </si>
  <si>
    <t>Integration</t>
  </si>
  <si>
    <t>Notification service connected</t>
  </si>
  <si>
    <t>ENV-017</t>
  </si>
  <si>
    <t>Payment gateway stub active</t>
  </si>
  <si>
    <t>ENV-018</t>
  </si>
  <si>
    <t>Document service available</t>
  </si>
  <si>
    <t>ENV-019</t>
  </si>
  <si>
    <t>Telephony event feed available</t>
  </si>
  <si>
    <t>ENV-020</t>
  </si>
  <si>
    <t>Data warehouse handoff running</t>
  </si>
  <si>
    <t>ENV-021</t>
  </si>
  <si>
    <t>Tooling</t>
  </si>
  <si>
    <t>Defect log access enabled</t>
  </si>
  <si>
    <t>ENV-022</t>
  </si>
  <si>
    <t>Execution tracker issued</t>
  </si>
  <si>
    <t>ENV-023</t>
  </si>
  <si>
    <t>Status dashboard published</t>
  </si>
  <si>
    <t>ENV-024</t>
  </si>
  <si>
    <t>Meeting rooms scheduled</t>
  </si>
  <si>
    <t>ENV-025</t>
  </si>
  <si>
    <t>Evidence repository created</t>
  </si>
  <si>
    <t>This is the primary readiness control sheet. Record status, evidence and blocker position against each criterion. Mandatory items roll directly into readiness KPIs and dashboard reporting. If the sheet shows persistent amber/red conditions, expect the execution and sign-off indicators to weaken.</t>
  </si>
  <si>
    <t>Checklist ID</t>
  </si>
  <si>
    <t>Criterion</t>
  </si>
  <si>
    <t>Mandatory</t>
  </si>
  <si>
    <t>Due Date</t>
  </si>
  <si>
    <t>Evidence / Ref</t>
  </si>
  <si>
    <t>Complete Flag</t>
  </si>
  <si>
    <t>CHK-001</t>
  </si>
  <si>
    <t>Governance &amp; Planning</t>
  </si>
  <si>
    <t>UAT scope baseline agreed</t>
  </si>
  <si>
    <t>Evidence should be traceable, owned, and reviewed before the relevant execution window begins.</t>
  </si>
  <si>
    <t>Access request tracker</t>
  </si>
  <si>
    <t>CHK-002</t>
  </si>
  <si>
    <t>UAT governance cadence confirmed</t>
  </si>
  <si>
    <t>Training attendance log</t>
  </si>
  <si>
    <t>CHK-003</t>
  </si>
  <si>
    <t>Daily control, triage and escalation forums scheduled</t>
  </si>
  <si>
    <t>CHK-004</t>
  </si>
  <si>
    <t>Roles and responsibilities agreed with business owners</t>
  </si>
  <si>
    <t>Script pack baseline</t>
  </si>
  <si>
    <t>CHK-005</t>
  </si>
  <si>
    <t>Milestone plan baselined and approved</t>
  </si>
  <si>
    <t>Triage Terms of Reference</t>
  </si>
  <si>
    <t>CHK-006</t>
  </si>
  <si>
    <t>Entry and exit criteria socialised</t>
  </si>
  <si>
    <t>CHK-007</t>
  </si>
  <si>
    <t>Defect severity / priority definitions approved</t>
  </si>
  <si>
    <t>CHK-008</t>
  </si>
  <si>
    <t>Scope &amp; Requirements</t>
  </si>
  <si>
    <t>In-scope requirements baselined</t>
  </si>
  <si>
    <t>CHK-009</t>
  </si>
  <si>
    <t>Requirement traceability available for all critical journeys</t>
  </si>
  <si>
    <t>Plan v1.2</t>
  </si>
  <si>
    <t>CHK-010</t>
  </si>
  <si>
    <t>Process exceptions identified and reviewed</t>
  </si>
  <si>
    <t>CHK-011</t>
  </si>
  <si>
    <t>Out-of-scope items clearly documented</t>
  </si>
  <si>
    <t>CHK-012</t>
  </si>
  <si>
    <t>Business rules validated with SMEs</t>
  </si>
  <si>
    <t>CHK-013</t>
  </si>
  <si>
    <t>Reporting outputs mapped to acceptance criteria</t>
  </si>
  <si>
    <t>Monitor closely at readiness review.</t>
  </si>
  <si>
    <t>CHK-014</t>
  </si>
  <si>
    <t>Change control for late scope items agreed</t>
  </si>
  <si>
    <t>CHK-015</t>
  </si>
  <si>
    <t>Scripts &amp; Scenarios</t>
  </si>
  <si>
    <t>Critical-path scripts drafted</t>
  </si>
  <si>
    <t>CHK-016</t>
  </si>
  <si>
    <t>Scenario peer review completed</t>
  </si>
  <si>
    <t>CHK-017</t>
  </si>
  <si>
    <t>Script pack coverage meets target threshold</t>
  </si>
  <si>
    <t>CHK-018</t>
  </si>
  <si>
    <t>Negative and exception scenarios included</t>
  </si>
  <si>
    <t>CHK-019</t>
  </si>
  <si>
    <t>Test evidence expectations defined</t>
  </si>
  <si>
    <t>CHK-020</t>
  </si>
  <si>
    <t>Retest pack identified for known defect areas</t>
  </si>
  <si>
    <t>CHK-021</t>
  </si>
  <si>
    <t>Scenario ownership assigned</t>
  </si>
  <si>
    <t>CHK-022</t>
  </si>
  <si>
    <t>Tester Readiness</t>
  </si>
  <si>
    <t>Business testers nominated and confirmed</t>
  </si>
  <si>
    <t>CHK-023</t>
  </si>
  <si>
    <t>Backup testers identified</t>
  </si>
  <si>
    <t>CHK-024</t>
  </si>
  <si>
    <t>Role-based access approved</t>
  </si>
  <si>
    <t>CHK-025</t>
  </si>
  <si>
    <t>Business availability confirmed for execution windows</t>
  </si>
  <si>
    <t>CHK-026</t>
  </si>
  <si>
    <t>Support contact list issued</t>
  </si>
  <si>
    <t>CHK-027</t>
  </si>
  <si>
    <t>Execution guide shared with testers</t>
  </si>
  <si>
    <t>CHK-028</t>
  </si>
  <si>
    <t>Escalation path explained to testers</t>
  </si>
  <si>
    <t>CHK-029</t>
  </si>
  <si>
    <t>Training &amp; Communications</t>
  </si>
  <si>
    <t>UAT induction session completed</t>
  </si>
  <si>
    <t>CHK-030</t>
  </si>
  <si>
    <t>Daily communications template agreed</t>
  </si>
  <si>
    <t>CHK-031</t>
  </si>
  <si>
    <t>Hypercare / support contacts shared</t>
  </si>
  <si>
    <t>CHK-032</t>
  </si>
  <si>
    <t>Business walkthrough completed for new capability</t>
  </si>
  <si>
    <t>CHK-033</t>
  </si>
  <si>
    <t>Known constraints communicated</t>
  </si>
  <si>
    <t>CHK-034</t>
  </si>
  <si>
    <t>Training attendance logged</t>
  </si>
  <si>
    <t>CHK-035</t>
  </si>
  <si>
    <t>Stakeholder updates scheduled</t>
  </si>
  <si>
    <t>CHK-036</t>
  </si>
  <si>
    <t>Environment &amp; Access</t>
  </si>
  <si>
    <t>UAT environment code deployed</t>
  </si>
  <si>
    <t>CHK-037</t>
  </si>
  <si>
    <t>Reference data loaded</t>
  </si>
  <si>
    <t>CHK-038</t>
  </si>
  <si>
    <t>User security roles provisioned</t>
  </si>
  <si>
    <t>CHK-039</t>
  </si>
  <si>
    <t>Email / notification services configured</t>
  </si>
  <si>
    <t>CHK-040</t>
  </si>
  <si>
    <t>Batch jobs scheduled for UAT window</t>
  </si>
  <si>
    <t>CHK-041</t>
  </si>
  <si>
    <t>Environment refresh plan agreed</t>
  </si>
  <si>
    <t>CHK-042</t>
  </si>
  <si>
    <t>Support model for outages agreed</t>
  </si>
  <si>
    <t>CHK-043</t>
  </si>
  <si>
    <t>Test Data</t>
  </si>
  <si>
    <t>Golden path test data available</t>
  </si>
  <si>
    <t>CHK-044</t>
  </si>
  <si>
    <t>Edge-case data prepared</t>
  </si>
  <si>
    <t>CHK-045</t>
  </si>
  <si>
    <t>Data refresh cycle agreed</t>
  </si>
  <si>
    <t>CHK-046</t>
  </si>
  <si>
    <t>PII masking controls confirmed</t>
  </si>
  <si>
    <t>CHK-047</t>
  </si>
  <si>
    <t>Data creation / reset procedure documented</t>
  </si>
  <si>
    <t>CHK-048</t>
  </si>
  <si>
    <t>Data defects triage route agreed</t>
  </si>
  <si>
    <t>CHK-049</t>
  </si>
  <si>
    <t>Data ownership confirmed</t>
  </si>
  <si>
    <t>CHK-050</t>
  </si>
  <si>
    <t>Support Model</t>
  </si>
  <si>
    <t>Daily triage attendees confirmed</t>
  </si>
  <si>
    <t>CHK-051</t>
  </si>
  <si>
    <t>Developer / vendor support windows agreed</t>
  </si>
  <si>
    <t>CHK-052</t>
  </si>
  <si>
    <t>Defect logging standard issued</t>
  </si>
  <si>
    <t>CHK-053</t>
  </si>
  <si>
    <t>Escalation SLAs communicated</t>
  </si>
  <si>
    <t>CHK-054</t>
  </si>
  <si>
    <t>Business decision forum defined</t>
  </si>
  <si>
    <t>CHK-055</t>
  </si>
  <si>
    <t>Weekend / out-of-hours support agreed where needed</t>
  </si>
  <si>
    <t>CHK-056</t>
  </si>
  <si>
    <t>War room protocol documented</t>
  </si>
  <si>
    <t>CHK-057</t>
  </si>
  <si>
    <t>Defect Triage &amp; Governance</t>
  </si>
  <si>
    <t>Defect workflow agreed</t>
  </si>
  <si>
    <t>CHK-058</t>
  </si>
  <si>
    <t>Severity tolerance agreed</t>
  </si>
  <si>
    <t>CHK-059</t>
  </si>
  <si>
    <t>Known defect list baselined</t>
  </si>
  <si>
    <t>CHK-060</t>
  </si>
  <si>
    <t>Re-test ownership defined</t>
  </si>
  <si>
    <t>CHK-061</t>
  </si>
  <si>
    <t>Leadership escalation threshold agreed</t>
  </si>
  <si>
    <t>CHK-062</t>
  </si>
  <si>
    <t>Defect reporting dashboard agreed</t>
  </si>
  <si>
    <t>CHK-063</t>
  </si>
  <si>
    <t>Defect closure evidence expectations defined</t>
  </si>
  <si>
    <t>CHK-064</t>
  </si>
  <si>
    <t>Reporting &amp; Sign-Off</t>
  </si>
  <si>
    <t>Daily dashboard reviewed and accepted</t>
  </si>
  <si>
    <t>CHK-065</t>
  </si>
  <si>
    <t>Status reporting cadence agreed</t>
  </si>
  <si>
    <t>CHK-066</t>
  </si>
  <si>
    <t>Residual risk process agreed</t>
  </si>
  <si>
    <t>CHK-067</t>
  </si>
  <si>
    <t>Sign-off approvers nominated</t>
  </si>
  <si>
    <t>CHK-068</t>
  </si>
  <si>
    <t>Go / no-go forum date reserved</t>
  </si>
  <si>
    <t>CHK-069</t>
  </si>
  <si>
    <t>Exit evidence pack structure defined</t>
  </si>
  <si>
    <t>CHK-070</t>
  </si>
  <si>
    <t>Lessons learned session scheduled</t>
  </si>
  <si>
    <t>Maintain the master catalogue of UAT scenarios here. This sheet should show scope coverage, ownership and readiness before execution. Execution and defect counts update automatically from the execution tracker and defect log to show which scenarios are active, troublesome or still untouched.</t>
  </si>
  <si>
    <t>Scenario ID</t>
  </si>
  <si>
    <t>Scenario Title</t>
  </si>
  <si>
    <t>Priority</t>
  </si>
  <si>
    <t>Risk Rating</t>
  </si>
  <si>
    <t>Tester Owner</t>
  </si>
  <si>
    <t>Wave</t>
  </si>
  <si>
    <t>Prerequisite</t>
  </si>
  <si>
    <t>Data Required</t>
  </si>
  <si>
    <t>Design Status</t>
  </si>
  <si>
    <t>Execution Count</t>
  </si>
  <si>
    <t>Pass Count</t>
  </si>
  <si>
    <t>Fail Count</t>
  </si>
  <si>
    <t>Blocked Count</t>
  </si>
  <si>
    <t>SCN-001</t>
  </si>
  <si>
    <t>Create a new case intake record with all mandatory fields</t>
  </si>
  <si>
    <t>Golden path customer</t>
  </si>
  <si>
    <t>In Review</t>
  </si>
  <si>
    <t>SCN-002</t>
  </si>
  <si>
    <t>Amend an existing case update record and preserve audit history</t>
  </si>
  <si>
    <t>Multi-case household</t>
  </si>
  <si>
    <t>Approved</t>
  </si>
  <si>
    <t>SCN-003</t>
  </si>
  <si>
    <t>Complete work allocation using a valid end-to-end happy path</t>
  </si>
  <si>
    <t>No specific prerequisite</t>
  </si>
  <si>
    <t>Outstanding balance account</t>
  </si>
  <si>
    <t>SCN-004</t>
  </si>
  <si>
    <t>Trigger validation rules during debt review for missing mandatory data</t>
  </si>
  <si>
    <t>Customer record available</t>
  </si>
  <si>
    <t>SCN-005</t>
  </si>
  <si>
    <t>Route operational reporting work item to the correct team based on business rules</t>
  </si>
  <si>
    <t>Edge-case customer</t>
  </si>
  <si>
    <t>SCN-006</t>
  </si>
  <si>
    <t>Complete identity &amp; eligibility using an exception or edge-case path</t>
  </si>
  <si>
    <t>SCN-007</t>
  </si>
  <si>
    <t>Verify role-based access controls during complaint handling</t>
  </si>
  <si>
    <t>SCN-008</t>
  </si>
  <si>
    <t>Confirm notifications and downstream updates generated by mobile updates</t>
  </si>
  <si>
    <t>SCN-009</t>
  </si>
  <si>
    <t>Recover from a failed attempt and resume charges &amp; payments</t>
  </si>
  <si>
    <t>Critical</t>
  </si>
  <si>
    <t>User profile provisioned</t>
  </si>
  <si>
    <t>Regulatory evidence required.</t>
  </si>
  <si>
    <t>SCN-010</t>
  </si>
  <si>
    <t>Validate MI output generated from regulatory reporting</t>
  </si>
  <si>
    <t>SCN-011</t>
  </si>
  <si>
    <t>Create a new call handling record with all mandatory fields</t>
  </si>
  <si>
    <t>SCN-012</t>
  </si>
  <si>
    <t>Amend an existing escalations record and preserve audit history</t>
  </si>
  <si>
    <t>SCN-013</t>
  </si>
  <si>
    <t>Complete appointment booking using a valid end-to-end happy path</t>
  </si>
  <si>
    <t>SCN-014</t>
  </si>
  <si>
    <t>Trigger validation rules during adjustments for missing mandatory data</t>
  </si>
  <si>
    <t>SCN-015</t>
  </si>
  <si>
    <t>Route dashboard refresh work item to the correct team based on business rules</t>
  </si>
  <si>
    <t>SCN-016</t>
  </si>
  <si>
    <t>Complete case routing using an exception or edge-case path</t>
  </si>
  <si>
    <t>SCN-017</t>
  </si>
  <si>
    <t>Verify role-based access controls during case creation</t>
  </si>
  <si>
    <t>SCN-018</t>
  </si>
  <si>
    <t>Confirm notifications and downstream updates generated by visit completion</t>
  </si>
  <si>
    <t>SCN-019</t>
  </si>
  <si>
    <t>Recover from a failed attempt and resume refunds</t>
  </si>
  <si>
    <t>SCN-020</t>
  </si>
  <si>
    <t>Validate MI output generated from data reconciliation</t>
  </si>
  <si>
    <t>Historic closed case</t>
  </si>
  <si>
    <t>SCN-021</t>
  </si>
  <si>
    <t>SCN-022</t>
  </si>
  <si>
    <t>SCN-023</t>
  </si>
  <si>
    <t>SCN-024</t>
  </si>
  <si>
    <t>Ready</t>
  </si>
  <si>
    <t>SCN-025</t>
  </si>
  <si>
    <t>SCN-026</t>
  </si>
  <si>
    <t>SCN-027</t>
  </si>
  <si>
    <t>Inbound interface stub active</t>
  </si>
  <si>
    <t>SCN-028</t>
  </si>
  <si>
    <t>SCN-029</t>
  </si>
  <si>
    <t>SCN-030</t>
  </si>
  <si>
    <t>SCN-031</t>
  </si>
  <si>
    <t>SCN-032</t>
  </si>
  <si>
    <t>SCN-033</t>
  </si>
  <si>
    <t>SCN-034</t>
  </si>
  <si>
    <t>SCN-035</t>
  </si>
  <si>
    <t>SCN-036</t>
  </si>
  <si>
    <t>SCN-037</t>
  </si>
  <si>
    <t>SCN-038</t>
  </si>
  <si>
    <t>SCN-039</t>
  </si>
  <si>
    <t>SCN-040</t>
  </si>
  <si>
    <t>SCN-041</t>
  </si>
  <si>
    <t>SCN-042</t>
  </si>
  <si>
    <t>SCN-043</t>
  </si>
  <si>
    <t>SCN-044</t>
  </si>
  <si>
    <t>SCN-045</t>
  </si>
  <si>
    <t>SCN-046</t>
  </si>
  <si>
    <t>SCN-047</t>
  </si>
  <si>
    <t>SCN-048</t>
  </si>
  <si>
    <t>SCN-049</t>
  </si>
  <si>
    <t>SCN-050</t>
  </si>
  <si>
    <t>SCN-051</t>
  </si>
  <si>
    <t>SCN-052</t>
  </si>
  <si>
    <t>SCN-053</t>
  </si>
  <si>
    <t>SCN-054</t>
  </si>
  <si>
    <t>SCN-055</t>
  </si>
  <si>
    <t>SCN-056</t>
  </si>
  <si>
    <t>SCN-057</t>
  </si>
  <si>
    <t>SCN-058</t>
  </si>
  <si>
    <t>SCN-059</t>
  </si>
  <si>
    <t>SCN-060</t>
  </si>
  <si>
    <t>SCN-061</t>
  </si>
  <si>
    <t>SCN-062</t>
  </si>
  <si>
    <t>SCN-063</t>
  </si>
  <si>
    <t>SCN-064</t>
  </si>
  <si>
    <t>SCN-065</t>
  </si>
  <si>
    <t>SCN-066</t>
  </si>
  <si>
    <t>SCN-067</t>
  </si>
  <si>
    <t>SCN-068</t>
  </si>
  <si>
    <t>SCN-069</t>
  </si>
  <si>
    <t>SCN-070</t>
  </si>
  <si>
    <t>SCN-071</t>
  </si>
  <si>
    <t>SCN-072</t>
  </si>
  <si>
    <t>SCN-073</t>
  </si>
  <si>
    <t>SCN-074</t>
  </si>
  <si>
    <t>SCN-075</t>
  </si>
  <si>
    <t>SCN-076</t>
  </si>
  <si>
    <t>SCN-077</t>
  </si>
  <si>
    <t>SCN-078</t>
  </si>
  <si>
    <t>SCN-079</t>
  </si>
  <si>
    <t>SCN-080</t>
  </si>
  <si>
    <t>Use this as the daily control log for actual UAT execution. Record scenario, tester, status, defect/issue links and retest need. Business area and process area are looked up automatically from the scenario register. This sheet feeds execution KPIs, tester activity, pass/fail trends and blocked-work views.</t>
  </si>
  <si>
    <t>Execution ID</t>
  </si>
  <si>
    <t>Execution Date</t>
  </si>
  <si>
    <t>Tester</t>
  </si>
  <si>
    <t>Cycle</t>
  </si>
  <si>
    <t>Defect ID</t>
  </si>
  <si>
    <t>Blocker Issue ID</t>
  </si>
  <si>
    <t>Retest Required</t>
  </si>
  <si>
    <t>Retest Status</t>
  </si>
  <si>
    <t>EXE-001</t>
  </si>
  <si>
    <t>Cycle 1</t>
  </si>
  <si>
    <t>Not Required</t>
  </si>
  <si>
    <t>EXE-002</t>
  </si>
  <si>
    <t>Execution paused pending dependency resolution.</t>
  </si>
  <si>
    <t>EXE-003</t>
  </si>
  <si>
    <t>ISS-003</t>
  </si>
  <si>
    <t>EXE-004</t>
  </si>
  <si>
    <t>Cycle 2</t>
  </si>
  <si>
    <t>Evidence captured successfully.</t>
  </si>
  <si>
    <t>EXE-005</t>
  </si>
  <si>
    <t>DEF-016</t>
  </si>
  <si>
    <t>Not Due</t>
  </si>
  <si>
    <t>EXE-006</t>
  </si>
  <si>
    <t>EXE-007</t>
  </si>
  <si>
    <t>EXE-008</t>
  </si>
  <si>
    <t>EXE-009</t>
  </si>
  <si>
    <t>DEF-004</t>
  </si>
  <si>
    <t>Awaiting triage outcome.</t>
  </si>
  <si>
    <t>EXE-010</t>
  </si>
  <si>
    <t>ISS-001</t>
  </si>
  <si>
    <t>EXE-011</t>
  </si>
  <si>
    <t>Re-test required after fix deployment.</t>
  </si>
  <si>
    <t>EXE-012</t>
  </si>
  <si>
    <t>EXE-013</t>
  </si>
  <si>
    <t>EXE-014</t>
  </si>
  <si>
    <t>EXE-015</t>
  </si>
  <si>
    <t>EXE-016</t>
  </si>
  <si>
    <t>EXE-017</t>
  </si>
  <si>
    <t>Completed within slot.</t>
  </si>
  <si>
    <t>EXE-018</t>
  </si>
  <si>
    <t>EXE-019</t>
  </si>
  <si>
    <t>EXE-020</t>
  </si>
  <si>
    <t>EXE-021</t>
  </si>
  <si>
    <t>EXE-022</t>
  </si>
  <si>
    <t>EXE-023</t>
  </si>
  <si>
    <t>EXE-024</t>
  </si>
  <si>
    <t>EXE-025</t>
  </si>
  <si>
    <t>EXE-026</t>
  </si>
  <si>
    <t>ISS-002</t>
  </si>
  <si>
    <t>EXE-027</t>
  </si>
  <si>
    <t>EXE-028</t>
  </si>
  <si>
    <t>EXE-029</t>
  </si>
  <si>
    <t>EXE-030</t>
  </si>
  <si>
    <t>EXE-031</t>
  </si>
  <si>
    <t>DEF-033</t>
  </si>
  <si>
    <t>ISS-009</t>
  </si>
  <si>
    <t>EXE-032</t>
  </si>
  <si>
    <t>EXE-033</t>
  </si>
  <si>
    <t>EXE-034</t>
  </si>
  <si>
    <t>DEF-005</t>
  </si>
  <si>
    <t>EXE-035</t>
  </si>
  <si>
    <t>EXE-036</t>
  </si>
  <si>
    <t>EXE-037</t>
  </si>
  <si>
    <t>DEF-029</t>
  </si>
  <si>
    <t>EXE-038</t>
  </si>
  <si>
    <t>DEF-017</t>
  </si>
  <si>
    <t>EXE-039</t>
  </si>
  <si>
    <t>EXE-040</t>
  </si>
  <si>
    <t>EXE-041</t>
  </si>
  <si>
    <t>ISS-008</t>
  </si>
  <si>
    <t>EXE-042</t>
  </si>
  <si>
    <t>EXE-043</t>
  </si>
  <si>
    <t>DEF-001</t>
  </si>
  <si>
    <t>ISS-005</t>
  </si>
  <si>
    <t>EXE-044</t>
  </si>
  <si>
    <t>DEF-018</t>
  </si>
  <si>
    <t>ISS-004</t>
  </si>
  <si>
    <t>EXE-045</t>
  </si>
  <si>
    <t>EXE-046</t>
  </si>
  <si>
    <t>EXE-047</t>
  </si>
  <si>
    <t>EXE-048</t>
  </si>
  <si>
    <t>EXE-049</t>
  </si>
  <si>
    <t>EXE-050</t>
  </si>
  <si>
    <t>EXE-051</t>
  </si>
  <si>
    <t>EXE-052</t>
  </si>
  <si>
    <t>EXE-053</t>
  </si>
  <si>
    <t>EXE-054</t>
  </si>
  <si>
    <t>EXE-055</t>
  </si>
  <si>
    <t>DEF-015</t>
  </si>
  <si>
    <t>EXE-056</t>
  </si>
  <si>
    <t>EXE-057</t>
  </si>
  <si>
    <t>EXE-058</t>
  </si>
  <si>
    <t>EXE-059</t>
  </si>
  <si>
    <t>EXE-060</t>
  </si>
  <si>
    <t>DEF-019</t>
  </si>
  <si>
    <t>ISS-011</t>
  </si>
  <si>
    <t>EXE-061</t>
  </si>
  <si>
    <t>EXE-062</t>
  </si>
  <si>
    <t>EXE-063</t>
  </si>
  <si>
    <t>EXE-064</t>
  </si>
  <si>
    <t>DEF-014</t>
  </si>
  <si>
    <t>EXE-065</t>
  </si>
  <si>
    <t>EXE-066</t>
  </si>
  <si>
    <t>EXE-067</t>
  </si>
  <si>
    <t>EXE-068</t>
  </si>
  <si>
    <t>EXE-069</t>
  </si>
  <si>
    <t>EXE-070</t>
  </si>
  <si>
    <t>EXE-071</t>
  </si>
  <si>
    <t>EXE-072</t>
  </si>
  <si>
    <t>DEF-025</t>
  </si>
  <si>
    <t>EXE-073</t>
  </si>
  <si>
    <t>DEF-006</t>
  </si>
  <si>
    <t>EXE-074</t>
  </si>
  <si>
    <t>EXE-075</t>
  </si>
  <si>
    <t>EXE-076</t>
  </si>
  <si>
    <t>EXE-077</t>
  </si>
  <si>
    <t>EXE-078</t>
  </si>
  <si>
    <t>DEF-011</t>
  </si>
  <si>
    <t>EXE-079</t>
  </si>
  <si>
    <t>EXE-080</t>
  </si>
  <si>
    <t>EXE-081</t>
  </si>
  <si>
    <t>EXE-082</t>
  </si>
  <si>
    <t>EXE-083</t>
  </si>
  <si>
    <t>EXE-084</t>
  </si>
  <si>
    <t>EXE-085</t>
  </si>
  <si>
    <t>EXE-086</t>
  </si>
  <si>
    <t>EXE-087</t>
  </si>
  <si>
    <t>EXE-088</t>
  </si>
  <si>
    <t>EXE-089</t>
  </si>
  <si>
    <t>EXE-090</t>
  </si>
  <si>
    <t>EXE-091</t>
  </si>
  <si>
    <t>EXE-092</t>
  </si>
  <si>
    <t>EXE-093</t>
  </si>
  <si>
    <t>EXE-094</t>
  </si>
  <si>
    <t>EXE-095</t>
  </si>
  <si>
    <t>EXE-096</t>
  </si>
  <si>
    <t>EXE-097</t>
  </si>
  <si>
    <t>EXE-098</t>
  </si>
  <si>
    <t>EXE-099</t>
  </si>
  <si>
    <t>EXE-100</t>
  </si>
  <si>
    <t>EXE-101</t>
  </si>
  <si>
    <t>DEF-021</t>
  </si>
  <si>
    <t>EXE-102</t>
  </si>
  <si>
    <t>ISS-007</t>
  </si>
  <si>
    <t>EXE-103</t>
  </si>
  <si>
    <t>DEF-031</t>
  </si>
  <si>
    <t>EXE-104</t>
  </si>
  <si>
    <t>EXE-105</t>
  </si>
  <si>
    <t>EXE-106</t>
  </si>
  <si>
    <t>EXE-107</t>
  </si>
  <si>
    <t>EXE-108</t>
  </si>
  <si>
    <t>EXE-109</t>
  </si>
  <si>
    <t>EXE-110</t>
  </si>
  <si>
    <t>EXE-111</t>
  </si>
  <si>
    <t>EXE-112</t>
  </si>
  <si>
    <t>DEF-027</t>
  </si>
  <si>
    <t>EXE-113</t>
  </si>
  <si>
    <t>EXE-114</t>
  </si>
  <si>
    <t>EXE-115</t>
  </si>
  <si>
    <t>EXE-116</t>
  </si>
  <si>
    <t>EXE-117</t>
  </si>
  <si>
    <t>EXE-118</t>
  </si>
  <si>
    <t>EXE-119</t>
  </si>
  <si>
    <t>EXE-120</t>
  </si>
  <si>
    <t>EXE-121</t>
  </si>
  <si>
    <t>EXE-122</t>
  </si>
  <si>
    <t>EXE-123</t>
  </si>
  <si>
    <t>EXE-124</t>
  </si>
  <si>
    <t>EXE-125</t>
  </si>
  <si>
    <t>EXE-126</t>
  </si>
  <si>
    <t>EXE-127</t>
  </si>
  <si>
    <t>DEF-030</t>
  </si>
  <si>
    <t>EXE-128</t>
  </si>
  <si>
    <t>EXE-129</t>
  </si>
  <si>
    <t>EXE-130</t>
  </si>
  <si>
    <t>EXE-131</t>
  </si>
  <si>
    <t>EXE-132</t>
  </si>
  <si>
    <t>EXE-133</t>
  </si>
  <si>
    <t>DEF-023</t>
  </si>
  <si>
    <t>EXE-134</t>
  </si>
  <si>
    <t>EXE-135</t>
  </si>
  <si>
    <t>EXE-136</t>
  </si>
  <si>
    <t>EXE-137</t>
  </si>
  <si>
    <t>EXE-138</t>
  </si>
  <si>
    <t>EXE-139</t>
  </si>
  <si>
    <t>EXE-140</t>
  </si>
  <si>
    <t>EXE-141</t>
  </si>
  <si>
    <t>EXE-142</t>
  </si>
  <si>
    <t>EXE-143</t>
  </si>
  <si>
    <t>EXE-144</t>
  </si>
  <si>
    <t>ISS-006</t>
  </si>
  <si>
    <t>EXE-145</t>
  </si>
  <si>
    <t>EXE-146</t>
  </si>
  <si>
    <t>EXE-147</t>
  </si>
  <si>
    <t>EXE-148</t>
  </si>
  <si>
    <t>EXE-149</t>
  </si>
  <si>
    <t>EXE-150</t>
  </si>
  <si>
    <t>Record all UAT defects here with severity, priority, ownership, dates, root cause and workaround. Ageing and breach indicators are formula-driven from the report date. This sheet feeds the quality dashboard, defect trends, severity split and retest prioritisation.</t>
  </si>
  <si>
    <t>Title</t>
  </si>
  <si>
    <t>Linked Scenario ID</t>
  </si>
  <si>
    <t>Linked Requirement ID</t>
  </si>
  <si>
    <t>Severity</t>
  </si>
  <si>
    <t>Assigned Team</t>
  </si>
  <si>
    <t>Identified Date</t>
  </si>
  <si>
    <t>Target Fix Date</t>
  </si>
  <si>
    <t>Actual Fix Date</t>
  </si>
  <si>
    <t>Retest Date</t>
  </si>
  <si>
    <t>Ageing Days</t>
  </si>
  <si>
    <t>Target Breach</t>
  </si>
  <si>
    <t>Root Cause</t>
  </si>
  <si>
    <t>Workaround</t>
  </si>
  <si>
    <t>Age Band</t>
  </si>
  <si>
    <t>Open Flag</t>
  </si>
  <si>
    <t>Workflow routes to incorrect queue</t>
  </si>
  <si>
    <t>Workflow routes to incorrect queue during regulatory reporting execution for reporting &amp; mi users.</t>
  </si>
  <si>
    <t>S3 - Medium</t>
  </si>
  <si>
    <t>P3</t>
  </si>
  <si>
    <t>Closed</t>
  </si>
  <si>
    <t>Security Admin</t>
  </si>
  <si>
    <t>Reporting Logic</t>
  </si>
  <si>
    <t>Use manual workaround and continue with controlled evidence capture.</t>
  </si>
  <si>
    <t>DEF-002</t>
  </si>
  <si>
    <t>Notification not generated for downstream team</t>
  </si>
  <si>
    <t>Notification not generated for downstream team during debt review execution for finance &amp; billing users.</t>
  </si>
  <si>
    <t>S2 - High</t>
  </si>
  <si>
    <t>P2</t>
  </si>
  <si>
    <t>In Triage</t>
  </si>
  <si>
    <t>D365 Delivery</t>
  </si>
  <si>
    <t>Business Rule Mapping</t>
  </si>
  <si>
    <t>No practical workaround; blocker remains open.</t>
  </si>
  <si>
    <t>DEF-003</t>
  </si>
  <si>
    <t>Validation message does not display correctly</t>
  </si>
  <si>
    <t>Validation message does not display correctly during mobile updates execution for field operations users.</t>
  </si>
  <si>
    <t>S1 - Critical</t>
  </si>
  <si>
    <t>P1</t>
  </si>
  <si>
    <t>Fixed - Pending Retest</t>
  </si>
  <si>
    <t>Integration Team</t>
  </si>
  <si>
    <t>Configuration</t>
  </si>
  <si>
    <t>Escalated at daily defect triage.</t>
  </si>
  <si>
    <t>Appointment slot not released after cancellation</t>
  </si>
  <si>
    <t>Appointment slot not released after cancellation during complaint handling execution for case management users.</t>
  </si>
  <si>
    <t>Vendor Support</t>
  </si>
  <si>
    <t>Workflow Logic</t>
  </si>
  <si>
    <t>Proceed with alternate scenario until configuration is corrected.</t>
  </si>
  <si>
    <t>Workflow routes to incorrect queue during refunds execution for finance &amp; billing users.</t>
  </si>
  <si>
    <t>Open</t>
  </si>
  <si>
    <t>Data Migration</t>
  </si>
  <si>
    <t>Retest after overnight data refresh.</t>
  </si>
  <si>
    <t>Appointment slot not released after cancellation during data reconciliation execution for reporting &amp; mi users.</t>
  </si>
  <si>
    <t>S4 - Low</t>
  </si>
  <si>
    <t>P4</t>
  </si>
  <si>
    <t>DEF-007</t>
  </si>
  <si>
    <t>Access profile prevents valid execution</t>
  </si>
  <si>
    <t>Access profile prevents valid execution during work allocation execution for field operations users.</t>
  </si>
  <si>
    <t>DEF-008</t>
  </si>
  <si>
    <t>Duplicate record created on retry</t>
  </si>
  <si>
    <t>Duplicate record created on retry during refunds execution for finance &amp; billing users.</t>
  </si>
  <si>
    <t>DEF-009</t>
  </si>
  <si>
    <t>Report output excludes expected population</t>
  </si>
  <si>
    <t>Report output excludes expected population during case update execution for case management users.</t>
  </si>
  <si>
    <t>Rejected</t>
  </si>
  <si>
    <t>Reporting Team</t>
  </si>
  <si>
    <t>DEF-010</t>
  </si>
  <si>
    <t>Report output excludes expected population during case intake execution for contact centre users.</t>
  </si>
  <si>
    <t>Use admin-assisted update as an interim control.</t>
  </si>
  <si>
    <t>Audit history not retained after amendment</t>
  </si>
  <si>
    <t>Audit history not retained after amendment during case routing execution for contact centre users.</t>
  </si>
  <si>
    <t>DEF-012</t>
  </si>
  <si>
    <t>Audit history not retained after amendment during charges &amp; payments execution for finance &amp; billing users.</t>
  </si>
  <si>
    <t>Security Role</t>
  </si>
  <si>
    <t>DEF-013</t>
  </si>
  <si>
    <t>Notification not generated for downstream team during dashboard refresh execution for reporting &amp; mi users.</t>
  </si>
  <si>
    <t>Reference data lookup fails for valid value</t>
  </si>
  <si>
    <t>Reference data lookup fails for valid value during case routing execution for contact centre users.</t>
  </si>
  <si>
    <t>Duplicate record created on retry during charges &amp; payments execution for finance &amp; billing users.</t>
  </si>
  <si>
    <t>Notification not generated for downstream team during work allocation execution for field operations users.</t>
  </si>
  <si>
    <t>Reference data lookup fails for valid value during identity &amp; eligibility execution for contact centre users.</t>
  </si>
  <si>
    <t>Report output excludes expected population during visit completion execution for field operations users.</t>
  </si>
  <si>
    <t>Record saves without mandatory field completion</t>
  </si>
  <si>
    <t>Record saves without mandatory field completion during mobile updates execution for field operations users.</t>
  </si>
  <si>
    <t>DEF-020</t>
  </si>
  <si>
    <t>Record saves without mandatory field completion during case update execution for case management users.</t>
  </si>
  <si>
    <t>Notification not generated for downstream team during case update execution for case management users.</t>
  </si>
  <si>
    <t>DEF-022</t>
  </si>
  <si>
    <t>Record saves without mandatory field completion during operational reporting execution for reporting &amp; mi users.</t>
  </si>
  <si>
    <t>Validation message does not display correctly during case update execution for case management users.</t>
  </si>
  <si>
    <t>DEF-024</t>
  </si>
  <si>
    <t>Appointment slot not released after cancellation during appointment booking execution for field operations users.</t>
  </si>
  <si>
    <t>Validation message does not display correctly during adjustments execution for finance &amp; billing users.</t>
  </si>
  <si>
    <t>DEF-026</t>
  </si>
  <si>
    <t>Reference data lookup fails for valid value during case update execution for case management users.</t>
  </si>
  <si>
    <t>Record saves without mandatory field completion during identity &amp; eligibility execution for contact centre users.</t>
  </si>
  <si>
    <t>DEF-028</t>
  </si>
  <si>
    <t>Reference data lookup fails for valid value during case creation execution for case management users.</t>
  </si>
  <si>
    <t>Access profile prevents valid execution during call handling execution for contact centre users.</t>
  </si>
  <si>
    <t>Notification not generated for downstream team during regulatory reporting execution for reporting &amp; mi users.</t>
  </si>
  <si>
    <t>Reference data lookup fails for valid value during charges &amp; payments execution for finance &amp; billing users.</t>
  </si>
  <si>
    <t>DEF-032</t>
  </si>
  <si>
    <t>Validation message does not display correctly during regulatory reporting execution for reporting &amp; mi users.</t>
  </si>
  <si>
    <t>Validation message does not display correctly during operational reporting execution for reporting &amp; mi users.</t>
  </si>
  <si>
    <t>DEF-034</t>
  </si>
  <si>
    <t>Audit history not retained after amendment during data reconciliation execution for reporting &amp; mi users.</t>
  </si>
  <si>
    <t>DEF-035</t>
  </si>
  <si>
    <t>Report output excludes expected population during complaint handling execution for case management users.</t>
  </si>
  <si>
    <t>Use this sheet for non-defect operational issues affecting UAT, such as environment instability, tester availability, reporting delays or support-model gaps. Track owner, due date, mitigation and escalation need. The overdue indicator helps you surface issues that are quietly ageing in the background.</t>
  </si>
  <si>
    <t>Issue ID</t>
  </si>
  <si>
    <t>Issue Title</t>
  </si>
  <si>
    <t>Date Raised</t>
  </si>
  <si>
    <t>Dependency / Ref</t>
  </si>
  <si>
    <t>Escalation Required</t>
  </si>
  <si>
    <t>Reporting issue impacting daily UAT execution</t>
  </si>
  <si>
    <t>Reporting</t>
  </si>
  <si>
    <t>Reporting issue affecting one or more business areas and requiring coordinated action before the next execution window.</t>
  </si>
  <si>
    <t>High - blocks multiple testers</t>
  </si>
  <si>
    <t>Resolved</t>
  </si>
  <si>
    <t>Role update request</t>
  </si>
  <si>
    <t>Reschedule affected scripts to next slot.</t>
  </si>
  <si>
    <t>Integration issue impacting daily UAT execution</t>
  </si>
  <si>
    <t>Integration issue affecting one or more business areas and requiring coordinated action before the next execution window.</t>
  </si>
  <si>
    <t>Low - manageable with workaround</t>
  </si>
  <si>
    <t>Environment refresh</t>
  </si>
  <si>
    <t>Trigger defect triage and agree business containment.</t>
  </si>
  <si>
    <t>Scheduling issue impacting daily UAT execution</t>
  </si>
  <si>
    <t>Scheduling</t>
  </si>
  <si>
    <t>Scheduling issue affecting one or more business areas and requiring coordinated action before the next execution window.</t>
  </si>
  <si>
    <t>Data load window</t>
  </si>
  <si>
    <t>Use interim workaround and monitor impact.</t>
  </si>
  <si>
    <t>SME Availability issue impacting daily UAT execution</t>
  </si>
  <si>
    <t>SME Availability</t>
  </si>
  <si>
    <t>SME Availability issue affecting one or more business areas and requiring coordinated action before the next execution window.</t>
  </si>
  <si>
    <t>Medium - delays specific scenarios</t>
  </si>
  <si>
    <t>Access issue impacting daily UAT execution</t>
  </si>
  <si>
    <t>Access issue affecting one or more business areas and requiring coordinated action before the next execution window.</t>
  </si>
  <si>
    <t>Escalate through daily control and confirm ownership.</t>
  </si>
  <si>
    <t>Environment issue impacting daily UAT execution</t>
  </si>
  <si>
    <t>Environment issue affecting one or more business areas and requiring coordinated action before the next execution window.</t>
  </si>
  <si>
    <t>Daily defect triage</t>
  </si>
  <si>
    <t>Data issue impacting daily UAT execution</t>
  </si>
  <si>
    <t>Data issue affecting one or more business areas and requiring coordinated action before the next execution window.</t>
  </si>
  <si>
    <t>ISS-010</t>
  </si>
  <si>
    <t>Training issue impacting daily UAT execution</t>
  </si>
  <si>
    <t>Training</t>
  </si>
  <si>
    <t>Training issue affecting one or more business areas and requiring coordinated action before the next execution window.</t>
  </si>
  <si>
    <t>ISS-012</t>
  </si>
  <si>
    <t>Capture open risks and assumptions with probability, impact, mitigation and contingency. Score and RAG are formula-driven so the sheet can quickly highlight the riskiest items. This log should support readiness reviews, governance forums and sign-off preparation.</t>
  </si>
  <si>
    <t>ID</t>
  </si>
  <si>
    <t>Type</t>
  </si>
  <si>
    <t>Cause</t>
  </si>
  <si>
    <t>Consequence</t>
  </si>
  <si>
    <t>Probability</t>
  </si>
  <si>
    <t>Score</t>
  </si>
  <si>
    <t>RAG</t>
  </si>
  <si>
    <t>Contingency</t>
  </si>
  <si>
    <t>Target Date</t>
  </si>
  <si>
    <t>RSK-001</t>
  </si>
  <si>
    <t>Risk</t>
  </si>
  <si>
    <t>Security role changes may require additional approval steps.</t>
  </si>
  <si>
    <t>Incomplete configuration</t>
  </si>
  <si>
    <t>Exit criteria could be delayed</t>
  </si>
  <si>
    <t>Agree contingency execution windows and reserve business cover.</t>
  </si>
  <si>
    <t>Move affected scenarios to controlled post-UAT verification.</t>
  </si>
  <si>
    <t>RSK-002</t>
  </si>
  <si>
    <t>Governance</t>
  </si>
  <si>
    <t>Dependency on external vendor</t>
  </si>
  <si>
    <t>Increase daily control and escalate early.</t>
  </si>
  <si>
    <t>ASM-003</t>
  </si>
  <si>
    <t>Assumption</t>
  </si>
  <si>
    <t>Supplier Dependency</t>
  </si>
  <si>
    <t>Supplier fix turnaround may be slower than daily triage requires.</t>
  </si>
  <si>
    <t>Governance bottleneck</t>
  </si>
  <si>
    <t>More scenarios may be deferred</t>
  </si>
  <si>
    <t>Accept partial execution with formal residual risk.</t>
  </si>
  <si>
    <t>Mitigating</t>
  </si>
  <si>
    <t>ASM-004</t>
  </si>
  <si>
    <t>Business Availability</t>
  </si>
  <si>
    <t>Sign-off confidence may reduce</t>
  </si>
  <si>
    <t>Delay sign-off until evidence threshold is met.</t>
  </si>
  <si>
    <t>ASM-005</t>
  </si>
  <si>
    <t>Defect backlog may remain above tolerance</t>
  </si>
  <si>
    <t>RSK-006</t>
  </si>
  <si>
    <t>Business tester availability may reduce during peak operational periods.</t>
  </si>
  <si>
    <t>Prioritise critical-path scenarios and defects.</t>
  </si>
  <si>
    <t>RSK-007</t>
  </si>
  <si>
    <t>Run targeted triage with supplier and internal owners.</t>
  </si>
  <si>
    <t>ASM-008</t>
  </si>
  <si>
    <t>RSK-009</t>
  </si>
  <si>
    <t>Reporting extracts may not stabilise in time for sign-off evidence.</t>
  </si>
  <si>
    <t>Competing business priorities</t>
  </si>
  <si>
    <t>Use workaround and capture leadership approval.</t>
  </si>
  <si>
    <t>RSK-010</t>
  </si>
  <si>
    <t>Release Management</t>
  </si>
  <si>
    <t>RSK-011</t>
  </si>
  <si>
    <t>RSK-012</t>
  </si>
  <si>
    <t>Operational procedures may continue to rely on legacy manual controls.</t>
  </si>
  <si>
    <t>Late data load</t>
  </si>
  <si>
    <t>Use the decision log to evidence who decided what, when, where, and with what follow-up. Good UAT governance requires a visible record of scope decisions, defect tolerance, schedule changes, and sign-off conditions. The overdue flag highlights decisions whose actions are slipping.</t>
  </si>
  <si>
    <t>Decision ID</t>
  </si>
  <si>
    <t>Date</t>
  </si>
  <si>
    <t>Decision Title</t>
  </si>
  <si>
    <t>Decision Owner</t>
  </si>
  <si>
    <t>Forum</t>
  </si>
  <si>
    <t>Impact Area</t>
  </si>
  <si>
    <t>Linked Issue / Risk</t>
  </si>
  <si>
    <t>Outcome</t>
  </si>
  <si>
    <t>Action Required</t>
  </si>
  <si>
    <t>DEC-001</t>
  </si>
  <si>
    <t>Escalate environment performance issue to supplier</t>
  </si>
  <si>
    <t>Governance decision recorded to maintain delivery control, evidence traceability, and decision ownership.</t>
  </si>
  <si>
    <t>SteerCo</t>
  </si>
  <si>
    <t>Defects</t>
  </si>
  <si>
    <t>Track through next governance checkpoint.</t>
  </si>
  <si>
    <t>DEC-002</t>
  </si>
  <si>
    <t>Accept controlled workaround for medium defects</t>
  </si>
  <si>
    <t>Readiness</t>
  </si>
  <si>
    <t>Update status report and notify business testers.</t>
  </si>
  <si>
    <t>DEC-003</t>
  </si>
  <si>
    <t>Readiness Review</t>
  </si>
  <si>
    <t>Schedule</t>
  </si>
  <si>
    <t>DEC-004</t>
  </si>
  <si>
    <t>Adopt tightened entry criteria for Wave 2</t>
  </si>
  <si>
    <t>Go/No-Go Board</t>
  </si>
  <si>
    <t>Scope</t>
  </si>
  <si>
    <t>Evidence acceptance decision in sign-off pack.</t>
  </si>
  <si>
    <t>DEC-005</t>
  </si>
  <si>
    <t>Approve targeted script sequencing change</t>
  </si>
  <si>
    <t>DEC-006</t>
  </si>
  <si>
    <t>DEC-007</t>
  </si>
  <si>
    <t>DEC-008</t>
  </si>
  <si>
    <t>Approved with conditions</t>
  </si>
  <si>
    <t>DEC-009</t>
  </si>
  <si>
    <t>Defer non-critical reporting scenarios</t>
  </si>
  <si>
    <t>Daily Control</t>
  </si>
  <si>
    <t>Confirm contingency and revised target dates.</t>
  </si>
  <si>
    <t>DEC-010</t>
  </si>
  <si>
    <t>Use this sheet to capture the narrative layer behind the dashboards: achievements, blockers, planned next steps, decisions needed and confidence status. The top section shows the current reporting snapshot; the table below keeps a period-by-period history you can reuse in reports or steering packs.</t>
  </si>
  <si>
    <t>Current Period Narrative Snapshot</t>
  </si>
  <si>
    <t>Reporting Period</t>
  </si>
  <si>
    <t>Key Achievements</t>
  </si>
  <si>
    <t>Planned Next Steps</t>
  </si>
  <si>
    <t>Key Blockers</t>
  </si>
  <si>
    <t>Confidence Status</t>
  </si>
  <si>
    <t>Narrative Summary</t>
  </si>
  <si>
    <t>Structured daily control is in place. Progress is visible, but exit confidence remains dependent on clearing the remaining critical-path blockers and confirming residual risk acceptance.</t>
  </si>
  <si>
    <t>Reporting Log History</t>
  </si>
  <si>
    <t>Week 1: 24 Feb - 28 Feb 2026</t>
  </si>
  <si>
    <t>Stabilised data load process and increased daily execution volume.</t>
  </si>
  <si>
    <t>Residual reporting issues may require conditional acceptance.</t>
  </si>
  <si>
    <t>Approve deferral of non-critical scenarios.</t>
  </si>
  <si>
    <t>Green</t>
  </si>
  <si>
    <t>Week 2: 01 Mar - 05 Mar 2026</t>
  </si>
  <si>
    <t>Increase retest throughput and close high-priority open defects.</t>
  </si>
  <si>
    <t>Business tester availability dips during peak operational periods.</t>
  </si>
  <si>
    <t>Week 3: 06 Mar - 10 Mar 2026</t>
  </si>
  <si>
    <t>Push outstanding scenario design approvals through governance.</t>
  </si>
  <si>
    <t>Open critical defect could delay sign-off confidence.</t>
  </si>
  <si>
    <t>This sheet supports the formal closure decision. Track mandatory and non-mandatory exit criteria, supporting evidence, approvals and comments. The complete-flag column drives the exit readiness KPI on the dashboards. Use comments to explain any residual-risk based acceptance.</t>
  </si>
  <si>
    <t>Criterion ID</t>
  </si>
  <si>
    <t>Evidence</t>
  </si>
  <si>
    <t>Approved By</t>
  </si>
  <si>
    <t>Approval Date</t>
  </si>
  <si>
    <t>EXT-001</t>
  </si>
  <si>
    <t>Execution</t>
  </si>
  <si>
    <t>Minimum in-scope scenario execution threshold met</t>
  </si>
  <si>
    <t>Defect report</t>
  </si>
  <si>
    <t>EXT-002</t>
  </si>
  <si>
    <t>No open critical defects remain</t>
  </si>
  <si>
    <t>Signed email</t>
  </si>
  <si>
    <t>One critical defect remains in triage.</t>
  </si>
  <si>
    <t>EXT-003</t>
  </si>
  <si>
    <t>Open high defects within agreed tolerance</t>
  </si>
  <si>
    <t>High defect tolerance still under review.</t>
  </si>
  <si>
    <t>EXT-004</t>
  </si>
  <si>
    <t>No unresolved execution blockers remain</t>
  </si>
  <si>
    <t>Decision log</t>
  </si>
  <si>
    <t>EXT-005</t>
  </si>
  <si>
    <t>Business Acceptance</t>
  </si>
  <si>
    <t>Business approvers reviewed evidence pack</t>
  </si>
  <si>
    <t>Dashboard review</t>
  </si>
  <si>
    <t>EXT-006</t>
  </si>
  <si>
    <t>Residual risks formally accepted</t>
  </si>
  <si>
    <t>EXT-007</t>
  </si>
  <si>
    <t>Operational support model agreed</t>
  </si>
  <si>
    <t>EXT-008</t>
  </si>
  <si>
    <t>Known issues and workarounds documented</t>
  </si>
  <si>
    <t>EXT-009</t>
  </si>
  <si>
    <t>Lessons learned captured</t>
  </si>
  <si>
    <t>Readiness pack</t>
  </si>
  <si>
    <t>EXT-010</t>
  </si>
  <si>
    <t>Sign-off recommendation submitted to board</t>
  </si>
  <si>
    <t>Capture closure insights that can be reused in future releases. Focus on what improved control and what caused friction. Assign owners and dates if you intend to convert lessons into delivery standards, process changes or reusable accelerators.</t>
  </si>
  <si>
    <t>What Worked</t>
  </si>
  <si>
    <t>What Did Not Work</t>
  </si>
  <si>
    <t>Recommendation</t>
  </si>
  <si>
    <t>Reusable Pattern</t>
  </si>
  <si>
    <t>LL-001</t>
  </si>
  <si>
    <t>Using a single workbook improved transparency for business users.</t>
  </si>
  <si>
    <t>Late data changes caused avoidable retest effort.</t>
  </si>
  <si>
    <t>Baseline entry criteria earlier and track them weekly.</t>
  </si>
  <si>
    <t>LL-002</t>
  </si>
  <si>
    <t>Some sign-off criteria were not socialised early enough.</t>
  </si>
  <si>
    <t>Introduce a dedicated data readiness cut-off before execution.</t>
  </si>
  <si>
    <t>LL-003</t>
  </si>
  <si>
    <t>Named backup testers reduced execution downtime.</t>
  </si>
  <si>
    <t>Access provisioning remained too manual.</t>
  </si>
  <si>
    <t>Run mini-readiness reviews per wave instead of one large checkpoint.</t>
  </si>
  <si>
    <t>LL-004</t>
  </si>
  <si>
    <t>Daily control with clear ownership kept issues visible.</t>
  </si>
  <si>
    <t>Exception scenarios were prepared later than ideal.</t>
  </si>
  <si>
    <t>Pre-agree defect tolerance and sign-off evidence thresholds.</t>
  </si>
  <si>
    <t>LL-005</t>
  </si>
  <si>
    <t>LL-006</t>
  </si>
  <si>
    <t>Traceability between requirements and scenarios improved triage quality.</t>
  </si>
  <si>
    <t>LL-007</t>
  </si>
  <si>
    <t>LL-008</t>
  </si>
  <si>
    <t>LL-009</t>
  </si>
  <si>
    <t>LL-010</t>
  </si>
  <si>
    <t>About this workbook</t>
  </si>
  <si>
    <t>Keep or hide this tab depending on your internal deployment preference.</t>
  </si>
  <si>
    <t>This workbook is intentionally designed as a white-label, macro-free UAT command pack. It includes dummy data, embedded guidance, dashboards and control logs so teams can see all features in action before deploying it live.</t>
  </si>
  <si>
    <t>Minimal attribution / licensing note</t>
  </si>
  <si>
    <t>Source / original concept: StratForge.</t>
  </si>
  <si>
    <t>This reference is intentionally isolated to a single tab so the workbook can be white-labelled for internal use.</t>
  </si>
  <si>
    <t>The workbook contains no VBA, no macros, and no external links.</t>
  </si>
  <si>
    <t>Before live use, replace demo data, review thresholds, and confirm internal policy / legal requirements for redistribution.</t>
  </si>
  <si>
    <t>If your licence terms permit, this tab may be hidden for internal deployment.</t>
  </si>
  <si>
    <t>YesNo</t>
  </si>
  <si>
    <t>ScopeType</t>
  </si>
  <si>
    <t>ReadinessStatus</t>
  </si>
  <si>
    <t>ExecutionStatus</t>
  </si>
  <si>
    <t>DesignStatus</t>
  </si>
  <si>
    <t>DefectSeverity</t>
  </si>
  <si>
    <t>DefectPriority</t>
  </si>
  <si>
    <t>DefectStatus</t>
  </si>
  <si>
    <t>IssueStatus</t>
  </si>
  <si>
    <t>RiskType</t>
  </si>
  <si>
    <t>RiskStatus</t>
  </si>
  <si>
    <t>DecisionStatus</t>
  </si>
  <si>
    <t>ConfidenceStatus</t>
  </si>
  <si>
    <t>PlanStatus</t>
  </si>
  <si>
    <t>Waves</t>
  </si>
  <si>
    <t>BusinessAreas</t>
  </si>
  <si>
    <t>Roles</t>
  </si>
  <si>
    <t>TesterTypes</t>
  </si>
  <si>
    <t>Owners</t>
  </si>
  <si>
    <t>ReadinessCategories</t>
  </si>
  <si>
    <t>EnvCategories</t>
  </si>
  <si>
    <t>ScenarioPriority</t>
  </si>
  <si>
    <t>RiskRating</t>
  </si>
  <si>
    <t>RetestStatus</t>
  </si>
  <si>
    <t>IssueCategories</t>
  </si>
  <si>
    <t>AssignedTeams</t>
  </si>
  <si>
    <t>Forums</t>
  </si>
  <si>
    <t>SimpleProgress</t>
  </si>
  <si>
    <t>ActionPriority</t>
  </si>
  <si>
    <t>RootCauses</t>
  </si>
  <si>
    <t>Defect Triage</t>
  </si>
  <si>
    <t>Red</t>
  </si>
  <si>
    <t>Not Applicable</t>
  </si>
  <si>
    <t>Overall readiness %</t>
  </si>
  <si>
    <t>Complete %</t>
  </si>
  <si>
    <t>Mandatory Complete</t>
  </si>
  <si>
    <t>Total Defects</t>
  </si>
  <si>
    <t>Count</t>
  </si>
  <si>
    <t>Executed</t>
  </si>
  <si>
    <t>Executions</t>
  </si>
  <si>
    <t>Plan Status</t>
  </si>
  <si>
    <t>Execution coverage %</t>
  </si>
  <si>
    <t>0-2 days</t>
  </si>
  <si>
    <t>Pass rate %</t>
  </si>
  <si>
    <t>3-5 days</t>
  </si>
  <si>
    <t>Blocked rate %</t>
  </si>
  <si>
    <t>6-10 days</t>
  </si>
  <si>
    <t>Open critical defects</t>
  </si>
  <si>
    <t>11+ days</t>
  </si>
  <si>
    <t>Open high defects</t>
  </si>
  <si>
    <t>Exit readiness %</t>
  </si>
  <si>
    <t>Open issues</t>
  </si>
  <si>
    <t>Open risks</t>
  </si>
  <si>
    <t>Ready testers %</t>
  </si>
  <si>
    <t>Overdue readiness items</t>
  </si>
  <si>
    <t>Overdue issues</t>
  </si>
  <si>
    <t>Late milestones</t>
  </si>
  <si>
    <t>Total scenarios</t>
  </si>
  <si>
    <t>Scenarios executed</t>
  </si>
  <si>
    <t>Execution records</t>
  </si>
  <si>
    <t>Passed executions</t>
  </si>
  <si>
    <t>Failed executions</t>
  </si>
  <si>
    <t>Blocked executions</t>
  </si>
  <si>
    <t>Deferred executions</t>
  </si>
  <si>
    <t>Retest pending</t>
  </si>
  <si>
    <t>Defect target breaches</t>
  </si>
  <si>
    <t>Open defects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</si>
</sst>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8" x14ac:knownFonts="1">
    <font>
      <sz val="11"/>
      <color theme="1"/>
      <name val="Calibri"/>
      <family val="2"/>
      <charset val="1"/>
    </font>
    <font>
      <b/>
      <sz val="18"/>
      <color rgb="FFFFFFFF"/>
      <name val="Calibri"/>
      <charset val="1"/>
    </font>
    <font>
      <sz val="10"/>
      <color rgb="FFFFFFFF"/>
      <name val="Calibri"/>
      <charset val="1"/>
    </font>
    <font>
      <b/>
      <u/>
      <sz val="10"/>
      <color rgb="FF2563EB"/>
      <name val="Calibri"/>
      <charset val="1"/>
    </font>
    <font>
      <sz val="10"/>
      <color rgb="FF1F2937"/>
      <name val="Calibri"/>
      <charset val="1"/>
    </font>
    <font>
      <b/>
      <sz val="11"/>
      <color rgb="FFFFFFFF"/>
      <name val="Calibri"/>
      <charset val="1"/>
    </font>
    <font>
      <sz val="10"/>
      <color rgb="FF64748B"/>
      <name val="Calibri"/>
      <charset val="1"/>
    </font>
    <font>
      <b/>
      <sz val="10"/>
      <color rgb="FFFFFFFF"/>
      <name val="Calibri"/>
      <charset val="1"/>
    </font>
    <font>
      <sz val="10"/>
      <color rgb="FF0000FF"/>
      <name val="Calibri"/>
      <charset val="1"/>
    </font>
    <font>
      <b/>
      <i/>
      <sz val="12"/>
      <color rgb="FF23395B"/>
      <name val="Calibri"/>
      <charset val="1"/>
    </font>
    <font>
      <sz val="10"/>
      <color rgb="FF008000"/>
      <name val="Calibri"/>
      <charset val="1"/>
    </font>
    <font>
      <b/>
      <sz val="20"/>
      <color rgb="FF15803D"/>
      <name val="Calibri"/>
      <charset val="1"/>
    </font>
    <font>
      <b/>
      <sz val="20"/>
      <color rgb="FF2563EB"/>
      <name val="Calibri"/>
      <charset val="1"/>
    </font>
    <font>
      <b/>
      <sz val="20"/>
      <color rgb="FFB45309"/>
      <name val="Calibri"/>
      <charset val="1"/>
    </font>
    <font>
      <b/>
      <sz val="20"/>
      <color rgb="FF0F766E"/>
      <name val="Calibri"/>
      <charset val="1"/>
    </font>
    <font>
      <b/>
      <sz val="20"/>
      <color rgb="FFB91C1C"/>
      <name val="Calibri"/>
      <charset val="1"/>
    </font>
    <font>
      <b/>
      <sz val="20"/>
      <color rgb="FF6D28D9"/>
      <name val="Calibri"/>
      <charset val="1"/>
    </font>
    <font>
      <b/>
      <sz val="20"/>
      <color rgb="FF1F2937"/>
      <name val="Calibri"/>
      <charset val="1"/>
    </font>
  </fonts>
  <fills count="19">
    <fill>
      <patternFill patternType="none"/>
    </fill>
    <fill>
      <patternFill patternType="gray125"/>
    </fill>
    <fill>
      <patternFill patternType="solid">
        <fgColor rgb="FF23395B"/>
        <bgColor rgb="FF1F2937"/>
      </patternFill>
    </fill>
    <fill>
      <patternFill patternType="solid">
        <fgColor rgb="FFF8FAFC"/>
        <bgColor rgb="FFF9F9F9"/>
      </patternFill>
    </fill>
    <fill>
      <patternFill patternType="solid">
        <fgColor rgb="FFF3F4F6"/>
        <bgColor rgb="FFF5F3FF"/>
      </patternFill>
    </fill>
    <fill>
      <patternFill patternType="solid">
        <fgColor rgb="FF1F2937"/>
        <bgColor rgb="FF23395B"/>
      </patternFill>
    </fill>
    <fill>
      <patternFill patternType="solid">
        <fgColor rgb="FF2563EB"/>
        <bgColor rgb="FF4A7EBB"/>
      </patternFill>
    </fill>
    <fill>
      <patternFill patternType="solid">
        <fgColor rgb="FFDCE6F1"/>
        <bgColor rgb="FFE2E8F0"/>
      </patternFill>
    </fill>
    <fill>
      <patternFill patternType="solid">
        <fgColor rgb="FF15803D"/>
        <bgColor rgb="FF0F766E"/>
      </patternFill>
    </fill>
    <fill>
      <patternFill patternType="solid">
        <fgColor rgb="FFB45309"/>
        <bgColor rgb="FFBE4B48"/>
      </patternFill>
    </fill>
    <fill>
      <patternFill patternType="solid">
        <fgColor rgb="FFECFDF5"/>
        <bgColor rgb="FFECFEFF"/>
      </patternFill>
    </fill>
    <fill>
      <patternFill patternType="solid">
        <fgColor rgb="FFEFF6FF"/>
        <bgColor rgb="FFF3F4F6"/>
      </patternFill>
    </fill>
    <fill>
      <patternFill patternType="solid">
        <fgColor rgb="FFFFF7ED"/>
        <bgColor rgb="FFFEF2F2"/>
      </patternFill>
    </fill>
    <fill>
      <patternFill patternType="solid">
        <fgColor rgb="FF0F766E"/>
        <bgColor rgb="FF15803D"/>
      </patternFill>
    </fill>
    <fill>
      <patternFill patternType="solid">
        <fgColor rgb="FFB91C1C"/>
        <bgColor rgb="FFBE4B48"/>
      </patternFill>
    </fill>
    <fill>
      <patternFill patternType="solid">
        <fgColor rgb="FF6D28D9"/>
        <bgColor rgb="FF800080"/>
      </patternFill>
    </fill>
    <fill>
      <patternFill patternType="solid">
        <fgColor rgb="FFECFEFF"/>
        <bgColor rgb="FFECFDF5"/>
      </patternFill>
    </fill>
    <fill>
      <patternFill patternType="solid">
        <fgColor rgb="FFFEF2F2"/>
        <bgColor rgb="FFFFF7ED"/>
      </patternFill>
    </fill>
    <fill>
      <patternFill patternType="solid">
        <fgColor rgb="FFF5F3FF"/>
        <bgColor rgb="FFF3F4F6"/>
      </patternFill>
    </fill>
  </fills>
  <borders count="3">
    <border>
      <left/>
      <right/>
      <top/>
      <bottom/>
      <diagonal/>
    </border>
    <border>
      <left style="thin">
        <color rgb="FFCBD5E1"/>
      </left>
      <right/>
      <top style="thin">
        <color rgb="FFCBD5E1"/>
      </top>
      <bottom/>
      <diagonal/>
    </border>
    <border>
      <left style="thin">
        <color rgb="FFCBD5E1"/>
      </left>
      <right style="thin">
        <color rgb="FFCBD5E1"/>
      </right>
      <top style="thin">
        <color rgb="FFCBD5E1"/>
      </top>
      <bottom style="thin">
        <color rgb="FFCBD5E1"/>
      </bottom>
      <diagonal/>
    </border>
  </borders>
  <cellStyleXfs count="1">
    <xf numFmtId="0" fontId="0" fillId="0" borderId="0"/>
  </cellStyleXfs>
  <cellXfs count="45">
    <xf numFmtId="0" fontId="0" fillId="0" borderId="0" xfId="0"/>
    <xf numFmtId="9" fontId="11" fillId="10" borderId="2" xfId="0" applyNumberFormat="1" applyFont="1" applyFill="1" applyBorder="1" applyAlignment="1">
      <alignment horizontal="center" vertical="center" wrapText="1"/>
    </xf>
    <xf numFmtId="0" fontId="10" fillId="3" borderId="2" xfId="0" applyFont="1" applyFill="1" applyBorder="1" applyAlignment="1">
      <alignment horizontal="left" vertical="center" wrapText="1"/>
    </xf>
    <xf numFmtId="0" fontId="7" fillId="9"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6" fillId="3" borderId="2" xfId="0" applyFont="1" applyFill="1" applyBorder="1" applyAlignment="1">
      <alignment horizontal="left" vertical="center" wrapText="1"/>
    </xf>
    <xf numFmtId="0" fontId="5" fillId="5" borderId="0" xfId="0" applyFont="1" applyFill="1" applyAlignment="1">
      <alignment horizontal="left" vertical="center" wrapText="1"/>
    </xf>
    <xf numFmtId="0" fontId="4" fillId="4" borderId="1" xfId="0" applyFont="1" applyFill="1" applyBorder="1" applyAlignment="1">
      <alignment horizontal="left" vertical="top" wrapText="1"/>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3" fillId="3" borderId="0" xfId="0" applyFont="1" applyFill="1" applyAlignment="1">
      <alignment horizontal="center" vertical="center" wrapText="1"/>
    </xf>
    <xf numFmtId="0" fontId="6" fillId="3"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164" fontId="8" fillId="3" borderId="2" xfId="0" applyNumberFormat="1" applyFont="1" applyFill="1" applyBorder="1" applyAlignment="1">
      <alignment horizontal="left" vertical="center" wrapText="1"/>
    </xf>
    <xf numFmtId="9" fontId="8" fillId="3" borderId="2" xfId="0" applyNumberFormat="1" applyFont="1" applyFill="1" applyBorder="1" applyAlignment="1">
      <alignment horizontal="left" vertical="center" wrapText="1"/>
    </xf>
    <xf numFmtId="1" fontId="8" fillId="3" borderId="2" xfId="0" applyNumberFormat="1" applyFont="1" applyFill="1" applyBorder="1" applyAlignment="1">
      <alignment horizontal="left" vertical="center" wrapText="1"/>
    </xf>
    <xf numFmtId="0" fontId="10" fillId="3"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16" fontId="6" fillId="3" borderId="2" xfId="0" applyNumberFormat="1" applyFont="1" applyFill="1" applyBorder="1" applyAlignment="1">
      <alignment horizontal="left" vertical="center" wrapText="1"/>
    </xf>
    <xf numFmtId="16" fontId="8" fillId="3" borderId="2" xfId="0" applyNumberFormat="1" applyFont="1" applyFill="1" applyBorder="1" applyAlignment="1">
      <alignment horizontal="left" vertical="center" wrapText="1"/>
    </xf>
    <xf numFmtId="1" fontId="10" fillId="3" borderId="2" xfId="0" applyNumberFormat="1" applyFont="1" applyFill="1" applyBorder="1" applyAlignment="1">
      <alignment horizontal="left" vertical="center" wrapText="1"/>
    </xf>
    <xf numFmtId="0" fontId="8" fillId="3" borderId="2" xfId="0" applyFont="1" applyFill="1" applyBorder="1" applyAlignment="1">
      <alignment horizontal="left" vertical="top" wrapText="1"/>
    </xf>
    <xf numFmtId="1" fontId="4" fillId="4" borderId="2" xfId="0" applyNumberFormat="1" applyFont="1" applyFill="1" applyBorder="1" applyAlignment="1">
      <alignment horizontal="left" vertical="center" wrapText="1"/>
    </xf>
    <xf numFmtId="0" fontId="4" fillId="4" borderId="2" xfId="0" applyFont="1" applyFill="1" applyBorder="1" applyAlignment="1">
      <alignment horizontal="left" vertical="center" wrapText="1"/>
    </xf>
    <xf numFmtId="16" fontId="0" fillId="0" borderId="0" xfId="0" applyNumberFormat="1"/>
    <xf numFmtId="9" fontId="12" fillId="11" borderId="2" xfId="0" applyNumberFormat="1" applyFont="1" applyFill="1" applyBorder="1" applyAlignment="1">
      <alignment horizontal="center" vertical="center" wrapText="1"/>
    </xf>
    <xf numFmtId="9" fontId="13" fillId="12" borderId="2" xfId="0" applyNumberFormat="1"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164" fontId="10" fillId="3" borderId="2" xfId="0" applyNumberFormat="1" applyFont="1" applyFill="1" applyBorder="1" applyAlignment="1">
      <alignment horizontal="left" vertical="center" wrapText="1"/>
    </xf>
    <xf numFmtId="9" fontId="14" fillId="16" borderId="2" xfId="0" applyNumberFormat="1" applyFont="1" applyFill="1" applyBorder="1" applyAlignment="1">
      <alignment horizontal="center" vertical="center" wrapText="1"/>
    </xf>
    <xf numFmtId="1" fontId="15" fillId="17" borderId="2" xfId="0" applyNumberFormat="1" applyFont="1" applyFill="1" applyBorder="1" applyAlignment="1">
      <alignment horizontal="center" vertical="center" wrapText="1"/>
    </xf>
    <xf numFmtId="1" fontId="16" fillId="18"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1" fontId="13" fillId="12" borderId="2" xfId="0" applyNumberFormat="1" applyFont="1" applyFill="1" applyBorder="1" applyAlignment="1">
      <alignment horizontal="center" vertical="center" wrapText="1"/>
    </xf>
    <xf numFmtId="1" fontId="17" fillId="4" borderId="2" xfId="0" applyNumberFormat="1" applyFont="1" applyFill="1" applyBorder="1" applyAlignment="1">
      <alignment horizontal="center" vertical="center" wrapText="1"/>
    </xf>
    <xf numFmtId="1" fontId="12" fillId="11" borderId="2" xfId="0" applyNumberFormat="1" applyFont="1" applyFill="1" applyBorder="1" applyAlignment="1">
      <alignment horizontal="center" vertical="center" wrapText="1"/>
    </xf>
    <xf numFmtId="1" fontId="14" fillId="16" borderId="2" xfId="0" applyNumberFormat="1" applyFont="1" applyFill="1" applyBorder="1" applyAlignment="1">
      <alignment horizontal="center" vertical="center" wrapText="1"/>
    </xf>
    <xf numFmtId="1" fontId="11" fillId="10" borderId="2"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cellXfs>
  <cellStyles count="1">
    <cellStyle name="Normal" xfId="0" builtinId="0"/>
  </cellStyles>
  <dxfs count="97">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15803D"/>
        <name val="Calibri"/>
        <charset val="1"/>
      </font>
      <fill>
        <patternFill>
          <bgColor rgb="FFECFDF5"/>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64748B"/>
        <name val="Calibri"/>
        <charset val="1"/>
      </font>
      <fill>
        <patternFill>
          <bgColor rgb="FFF3F4F6"/>
        </patternFill>
      </fill>
    </dxf>
    <dxf>
      <font>
        <b/>
        <sz val="10"/>
        <color rgb="FFB45309"/>
        <name val="Calibri"/>
        <charset val="1"/>
      </font>
      <fill>
        <patternFill>
          <bgColor rgb="FFFFF7ED"/>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B45309"/>
        <name val="Calibri"/>
        <charset val="1"/>
      </font>
      <fill>
        <patternFill>
          <bgColor rgb="FFFFF7ED"/>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15803D"/>
        <name val="Calibri"/>
        <charset val="1"/>
      </font>
      <fill>
        <patternFill>
          <bgColor rgb="FFECFDF5"/>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15803D"/>
        <name val="Calibri"/>
        <charset val="1"/>
      </font>
      <fill>
        <patternFill>
          <bgColor rgb="FFECFDF5"/>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15803D"/>
        <name val="Calibri"/>
        <charset val="1"/>
      </font>
      <fill>
        <patternFill>
          <bgColor rgb="FFECFDF5"/>
        </patternFill>
      </fill>
    </dxf>
    <dxf>
      <font>
        <b/>
        <sz val="10"/>
        <color rgb="FF2563EB"/>
        <name val="Calibri"/>
        <charset val="1"/>
      </font>
      <fill>
        <patternFill>
          <bgColor rgb="FFEFF6FF"/>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64748B"/>
        <name val="Calibri"/>
        <charset val="1"/>
      </font>
      <fill>
        <patternFill>
          <bgColor rgb="FFF3F4F6"/>
        </patternFill>
      </fill>
    </dxf>
    <dxf>
      <font>
        <b/>
        <sz val="10"/>
        <color rgb="FF15803D"/>
        <name val="Calibri"/>
        <charset val="1"/>
      </font>
      <fill>
        <patternFill>
          <bgColor rgb="FFECFDF5"/>
        </patternFill>
      </fill>
    </dxf>
    <dxf>
      <font>
        <b/>
        <sz val="10"/>
        <color rgb="FF2563EB"/>
        <name val="Calibri"/>
        <charset val="1"/>
      </font>
      <fill>
        <patternFill>
          <bgColor rgb="FFEFF6FF"/>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64748B"/>
        <name val="Calibri"/>
        <charset val="1"/>
      </font>
      <fill>
        <patternFill>
          <bgColor rgb="FFF3F4F6"/>
        </patternFill>
      </fill>
    </dxf>
    <dxf>
      <font>
        <b/>
        <sz val="10"/>
        <color rgb="FF2563EB"/>
        <name val="Calibri"/>
        <charset val="1"/>
      </font>
      <fill>
        <patternFill>
          <bgColor rgb="FFEFF6FF"/>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2563EB"/>
        <name val="Calibri"/>
        <charset val="1"/>
      </font>
      <fill>
        <patternFill>
          <bgColor rgb="FFEFF6FF"/>
        </patternFill>
      </fill>
    </dxf>
    <dxf>
      <font>
        <b/>
        <sz val="10"/>
        <color rgb="FF64748B"/>
        <name val="Calibri"/>
        <charset val="1"/>
      </font>
      <fill>
        <patternFill>
          <bgColor rgb="FFF3F4F6"/>
        </patternFill>
      </fill>
    </dxf>
    <dxf>
      <font>
        <b/>
        <sz val="10"/>
        <color rgb="FFB45309"/>
        <name val="Calibri"/>
        <charset val="1"/>
      </font>
      <fill>
        <patternFill>
          <bgColor rgb="FFFFF7ED"/>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45309"/>
        <name val="Calibri"/>
        <charset val="1"/>
      </font>
      <fill>
        <patternFill>
          <bgColor rgb="FFFFF7ED"/>
        </patternFill>
      </fill>
    </dxf>
    <dxf>
      <font>
        <b/>
        <sz val="10"/>
        <color rgb="FF15803D"/>
        <name val="Calibri"/>
        <charset val="1"/>
      </font>
      <fill>
        <patternFill>
          <bgColor rgb="FFECFDF5"/>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64748B"/>
        <name val="Calibri"/>
        <charset val="1"/>
      </font>
      <fill>
        <patternFill>
          <bgColor rgb="FFE2E8F0"/>
        </patternFill>
      </fill>
    </dxf>
    <dxf>
      <font>
        <b/>
        <sz val="10"/>
        <color rgb="FF64748B"/>
        <name val="Calibri"/>
        <charset val="1"/>
      </font>
      <fill>
        <patternFill>
          <bgColor rgb="FFF3F4F6"/>
        </patternFill>
      </fill>
    </dxf>
    <dxf>
      <font>
        <b/>
        <sz val="10"/>
        <color rgb="FFB91C1C"/>
        <name val="Calibri"/>
        <charset val="1"/>
      </font>
      <fill>
        <patternFill>
          <bgColor rgb="FFFEF2F2"/>
        </patternFill>
      </fill>
    </dxf>
    <dxf>
      <font>
        <b/>
        <sz val="10"/>
        <color rgb="FFB45309"/>
        <name val="Calibri"/>
        <charset val="1"/>
      </font>
      <fill>
        <patternFill>
          <bgColor rgb="FFFFF7ED"/>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64748B"/>
        <name val="Calibri"/>
        <charset val="1"/>
      </font>
      <fill>
        <patternFill>
          <bgColor rgb="FFF3F4F6"/>
        </patternFill>
      </fill>
    </dxf>
    <dxf>
      <font>
        <b/>
        <sz val="10"/>
        <color rgb="FFB91C1C"/>
        <name val="Calibri"/>
        <charset val="1"/>
      </font>
      <fill>
        <patternFill>
          <bgColor rgb="FFFEF2F2"/>
        </patternFill>
      </fill>
    </dxf>
    <dxf>
      <font>
        <b/>
        <sz val="10"/>
        <color rgb="FFB45309"/>
        <name val="Calibri"/>
        <charset val="1"/>
      </font>
      <fill>
        <patternFill>
          <bgColor rgb="FFFFF7ED"/>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B45309"/>
        <name val="Calibri"/>
        <charset val="1"/>
      </font>
      <fill>
        <patternFill>
          <bgColor rgb="FFFFF7ED"/>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15803D"/>
        <name val="Calibri"/>
        <charset val="1"/>
      </font>
      <fill>
        <patternFill>
          <bgColor rgb="FFECFDF5"/>
        </patternFill>
      </fill>
    </dxf>
    <dxf>
      <font>
        <b/>
        <sz val="10"/>
        <color rgb="FF64748B"/>
        <name val="Calibri"/>
        <charset val="1"/>
      </font>
      <fill>
        <patternFill>
          <bgColor rgb="FFF3F4F6"/>
        </patternFill>
      </fill>
    </dxf>
    <dxf>
      <font>
        <b/>
        <sz val="10"/>
        <color rgb="FFB91C1C"/>
        <name val="Calibri"/>
        <charset val="1"/>
      </font>
      <fill>
        <patternFill>
          <bgColor rgb="FFFEF2F2"/>
        </patternFill>
      </fill>
    </dxf>
    <dxf>
      <font>
        <b/>
        <sz val="10"/>
        <color rgb="FFB45309"/>
        <name val="Calibri"/>
        <charset val="1"/>
      </font>
      <fill>
        <patternFill>
          <bgColor rgb="FFFFF7ED"/>
        </patternFill>
      </fill>
    </dxf>
    <dxf>
      <font>
        <b/>
        <sz val="10"/>
        <color rgb="FF15803D"/>
        <name val="Calibri"/>
        <charset val="1"/>
      </font>
      <fill>
        <patternFill>
          <bgColor rgb="FFECFDF5"/>
        </patternFill>
      </fill>
    </dxf>
    <dxf>
      <font>
        <b/>
        <sz val="10"/>
        <color rgb="FFB91C1C"/>
        <name val="Calibri"/>
        <charset val="1"/>
      </font>
      <fill>
        <patternFill>
          <bgColor rgb="FFFEF2F2"/>
        </patternFill>
      </fill>
    </dxf>
    <dxf>
      <font>
        <b/>
        <sz val="10"/>
        <color rgb="FFB45309"/>
        <name val="Calibri"/>
        <charset val="1"/>
      </font>
      <fill>
        <patternFill>
          <bgColor rgb="FFFFF7ED"/>
        </patternFill>
      </fill>
    </dxf>
    <dxf>
      <font>
        <b/>
        <sz val="10"/>
        <color rgb="FF15803D"/>
        <name val="Calibri"/>
        <charset val="1"/>
      </font>
      <fill>
        <patternFill>
          <bgColor rgb="FFECFDF5"/>
        </patternFill>
      </fill>
    </dxf>
  </dxfs>
  <tableStyles count="0" defaultTableStyle="TableStyleMedium2" defaultPivotStyle="PivotStyleLight16"/>
  <colors>
    <indexedColors>
      <rgbColor rgb="FF000000"/>
      <rgbColor rgb="FFFFFFFF"/>
      <rgbColor rgb="FFFF0000"/>
      <rgbColor rgb="FF00FF00"/>
      <rgbColor rgb="FF0000FF"/>
      <rgbColor rgb="FFF9F9F9"/>
      <rgbColor rgb="FFFF00FF"/>
      <rgbColor rgb="FF00FFFF"/>
      <rgbColor rgb="FF800000"/>
      <rgbColor rgb="FF008000"/>
      <rgbColor rgb="FF000080"/>
      <rgbColor rgb="FF7D5FA0"/>
      <rgbColor rgb="FF800080"/>
      <rgbColor rgb="FF0F766E"/>
      <rgbColor rgb="FFD9D9D9"/>
      <rgbColor rgb="FF878787"/>
      <rgbColor rgb="FF8064A2"/>
      <rgbColor rgb="FFBE4B48"/>
      <rgbColor rgb="FFFFF7ED"/>
      <rgbColor rgb="FFECFEFF"/>
      <rgbColor rgb="FF660066"/>
      <rgbColor rgb="FFFF8080"/>
      <rgbColor rgb="FF4F81BD"/>
      <rgbColor rgb="FFCBD5E1"/>
      <rgbColor rgb="FF000080"/>
      <rgbColor rgb="FFFF00FF"/>
      <rgbColor rgb="FFF8FAFC"/>
      <rgbColor rgb="FF00FFFF"/>
      <rgbColor rgb="FF800080"/>
      <rgbColor rgb="FF800000"/>
      <rgbColor rgb="FF15803D"/>
      <rgbColor rgb="FF0000FF"/>
      <rgbColor rgb="FF00CCFF"/>
      <rgbColor rgb="FFECFDF5"/>
      <rgbColor rgb="FFDCE6F1"/>
      <rgbColor rgb="FFFEF2F2"/>
      <rgbColor rgb="FFEFF6FF"/>
      <rgbColor rgb="FFF5F3FF"/>
      <rgbColor rgb="FFF3F4F6"/>
      <rgbColor rgb="FFE2E8F0"/>
      <rgbColor rgb="FF2563EB"/>
      <rgbColor rgb="FF33CCCC"/>
      <rgbColor rgb="FF98B855"/>
      <rgbColor rgb="FFFFCC00"/>
      <rgbColor rgb="FFFF9900"/>
      <rgbColor rgb="FFB45309"/>
      <rgbColor rgb="FF64748B"/>
      <rgbColor rgb="FF9BBB59"/>
      <rgbColor rgb="FF23395B"/>
      <rgbColor rgb="FF4A7EBB"/>
      <rgbColor rgb="FF003300"/>
      <rgbColor rgb="FF333300"/>
      <rgbColor rgb="FFB91C1C"/>
      <rgbColor rgb="FFC0504D"/>
      <rgbColor rgb="FF6D28D9"/>
      <rgbColor rgb="FF1F2937"/>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Readiness by category</a:t>
            </a:r>
          </a:p>
        </c:rich>
      </c:tx>
      <c:overlay val="0"/>
      <c:spPr>
        <a:noFill/>
        <a:ln w="0">
          <a:noFill/>
        </a:ln>
      </c:spPr>
    </c:title>
    <c:autoTitleDeleted val="0"/>
    <c:plotArea>
      <c:layout/>
      <c:barChart>
        <c:barDir val="col"/>
        <c:grouping val="clustered"/>
        <c:varyColors val="0"/>
        <c:ser>
          <c:idx val="0"/>
          <c:order val="0"/>
          <c:tx>
            <c:strRef>
              <c:f>'Dashboard Data'!$E$1</c:f>
              <c:strCache>
                <c:ptCount val="1"/>
                <c:pt idx="0">
                  <c:v>Complete %</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Data'!$D$2:$D$11</c:f>
              <c:strCache>
                <c:ptCount val="10"/>
                <c:pt idx="0">
                  <c:v>Governance &amp; Planning</c:v>
                </c:pt>
                <c:pt idx="1">
                  <c:v>Scope &amp; Requirements</c:v>
                </c:pt>
                <c:pt idx="2">
                  <c:v>Scripts &amp; Scenarios</c:v>
                </c:pt>
                <c:pt idx="3">
                  <c:v>Tester Readiness</c:v>
                </c:pt>
                <c:pt idx="4">
                  <c:v>Training &amp; Communications</c:v>
                </c:pt>
                <c:pt idx="5">
                  <c:v>Environment &amp; Access</c:v>
                </c:pt>
                <c:pt idx="6">
                  <c:v>Test Data</c:v>
                </c:pt>
                <c:pt idx="7">
                  <c:v>Support Model</c:v>
                </c:pt>
                <c:pt idx="8">
                  <c:v>Defect Triage &amp; Governance</c:v>
                </c:pt>
                <c:pt idx="9">
                  <c:v>Reporting &amp; Sign-Off</c:v>
                </c:pt>
              </c:strCache>
            </c:strRef>
          </c:cat>
          <c:val>
            <c:numRef>
              <c:f>'Dashboard Data'!$E$2:$E$11</c:f>
              <c:numCache>
                <c:formatCode>General</c:formatCode>
                <c:ptCount val="10"/>
                <c:pt idx="0">
                  <c:v>0.8571428571428571</c:v>
                </c:pt>
                <c:pt idx="1">
                  <c:v>0.5714285714285714</c:v>
                </c:pt>
                <c:pt idx="2">
                  <c:v>0.7142857142857143</c:v>
                </c:pt>
                <c:pt idx="3">
                  <c:v>0.42857142857142855</c:v>
                </c:pt>
                <c:pt idx="4">
                  <c:v>0.5714285714285714</c:v>
                </c:pt>
                <c:pt idx="5">
                  <c:v>1</c:v>
                </c:pt>
                <c:pt idx="6">
                  <c:v>0.42857142857142855</c:v>
                </c:pt>
                <c:pt idx="7">
                  <c:v>0.2857142857142857</c:v>
                </c:pt>
                <c:pt idx="8">
                  <c:v>0.5714285714285714</c:v>
                </c:pt>
                <c:pt idx="9">
                  <c:v>0.42857142857142855</c:v>
                </c:pt>
              </c:numCache>
            </c:numRef>
          </c:val>
          <c:extLst>
            <c:ext xmlns:c16="http://schemas.microsoft.com/office/drawing/2014/chart" uri="{C3380CC4-5D6E-409C-BE32-E72D297353CC}">
              <c16:uniqueId val="{00000000-F3EF-43EC-AC9E-2C6E42CD7BE5}"/>
            </c:ext>
          </c:extLst>
        </c:ser>
        <c:dLbls>
          <c:showLegendKey val="0"/>
          <c:showVal val="0"/>
          <c:showCatName val="0"/>
          <c:showSerName val="0"/>
          <c:showPercent val="0"/>
          <c:showBubbleSize val="0"/>
        </c:dLbls>
        <c:gapWidth val="150"/>
        <c:axId val="15401217"/>
        <c:axId val="27162863"/>
      </c:barChart>
      <c:catAx>
        <c:axId val="15401217"/>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27162863"/>
        <c:crosses val="autoZero"/>
        <c:auto val="1"/>
        <c:lblAlgn val="ctr"/>
        <c:lblOffset val="100"/>
        <c:noMultiLvlLbl val="0"/>
      </c:catAx>
      <c:valAx>
        <c:axId val="27162863"/>
        <c:scaling>
          <c:orientation val="minMax"/>
          <c:max val="1"/>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Completion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15401217"/>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Defect status mix</a:t>
            </a:r>
          </a:p>
        </c:rich>
      </c:tx>
      <c:overlay val="0"/>
      <c:spPr>
        <a:noFill/>
        <a:ln w="0">
          <a:noFill/>
        </a:ln>
      </c:spPr>
    </c:title>
    <c:autoTitleDeleted val="0"/>
    <c:plotArea>
      <c:layout/>
      <c:barChart>
        <c:barDir val="col"/>
        <c:grouping val="clustered"/>
        <c:varyColors val="0"/>
        <c:ser>
          <c:idx val="0"/>
          <c:order val="0"/>
          <c:tx>
            <c:strRef>
              <c:f>'Dashboard Data'!$M$1</c:f>
              <c:strCache>
                <c:ptCount val="1"/>
                <c:pt idx="0">
                  <c:v>Count</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Data'!$L$2:$L$6</c:f>
              <c:strCache>
                <c:ptCount val="5"/>
                <c:pt idx="0">
                  <c:v>Open</c:v>
                </c:pt>
                <c:pt idx="1">
                  <c:v>In Triage</c:v>
                </c:pt>
                <c:pt idx="2">
                  <c:v>Fixed - Pending Retest</c:v>
                </c:pt>
                <c:pt idx="3">
                  <c:v>Closed</c:v>
                </c:pt>
                <c:pt idx="4">
                  <c:v>Rejected</c:v>
                </c:pt>
              </c:strCache>
            </c:strRef>
          </c:cat>
          <c:val>
            <c:numRef>
              <c:f>'Dashboard Data'!$M$2:$M$6</c:f>
              <c:numCache>
                <c:formatCode>General</c:formatCode>
                <c:ptCount val="5"/>
                <c:pt idx="0">
                  <c:v>3</c:v>
                </c:pt>
                <c:pt idx="1">
                  <c:v>6</c:v>
                </c:pt>
                <c:pt idx="2">
                  <c:v>11</c:v>
                </c:pt>
                <c:pt idx="3">
                  <c:v>12</c:v>
                </c:pt>
                <c:pt idx="4">
                  <c:v>3</c:v>
                </c:pt>
              </c:numCache>
            </c:numRef>
          </c:val>
          <c:extLst>
            <c:ext xmlns:c16="http://schemas.microsoft.com/office/drawing/2014/chart" uri="{C3380CC4-5D6E-409C-BE32-E72D297353CC}">
              <c16:uniqueId val="{00000000-F241-4FB8-A656-D0D6C96C1607}"/>
            </c:ext>
          </c:extLst>
        </c:ser>
        <c:dLbls>
          <c:showLegendKey val="0"/>
          <c:showVal val="0"/>
          <c:showCatName val="0"/>
          <c:showSerName val="0"/>
          <c:showPercent val="0"/>
          <c:showBubbleSize val="0"/>
        </c:dLbls>
        <c:gapWidth val="150"/>
        <c:axId val="29592818"/>
        <c:axId val="71441032"/>
      </c:barChart>
      <c:catAx>
        <c:axId val="29592818"/>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71441032"/>
        <c:crosses val="autoZero"/>
        <c:auto val="1"/>
        <c:lblAlgn val="ctr"/>
        <c:lblOffset val="100"/>
        <c:noMultiLvlLbl val="0"/>
      </c:catAx>
      <c:valAx>
        <c:axId val="71441032"/>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Count</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29592818"/>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Open defect age bands</a:t>
            </a:r>
          </a:p>
        </c:rich>
      </c:tx>
      <c:overlay val="0"/>
      <c:spPr>
        <a:noFill/>
        <a:ln w="0">
          <a:noFill/>
        </a:ln>
      </c:spPr>
    </c:title>
    <c:autoTitleDeleted val="0"/>
    <c:plotArea>
      <c:layout/>
      <c:barChart>
        <c:barDir val="col"/>
        <c:grouping val="clustered"/>
        <c:varyColors val="0"/>
        <c:ser>
          <c:idx val="0"/>
          <c:order val="0"/>
          <c:tx>
            <c:strRef>
              <c:f>'Dashboard Data'!$Y$1</c:f>
              <c:strCache>
                <c:ptCount val="1"/>
                <c:pt idx="0">
                  <c:v>Count</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Data'!$X$2:$X$5</c:f>
              <c:strCache>
                <c:ptCount val="4"/>
                <c:pt idx="0">
                  <c:v>0-2 days</c:v>
                </c:pt>
                <c:pt idx="1">
                  <c:v>3-5 days</c:v>
                </c:pt>
                <c:pt idx="2">
                  <c:v>6-10 days</c:v>
                </c:pt>
                <c:pt idx="3">
                  <c:v>11+ days</c:v>
                </c:pt>
              </c:strCache>
            </c:strRef>
          </c:cat>
          <c:val>
            <c:numRef>
              <c:f>'Dashboard Data'!$Y$2:$Y$5</c:f>
              <c:numCache>
                <c:formatCode>General</c:formatCode>
                <c:ptCount val="4"/>
                <c:pt idx="0">
                  <c:v>2</c:v>
                </c:pt>
                <c:pt idx="1">
                  <c:v>7</c:v>
                </c:pt>
                <c:pt idx="2">
                  <c:v>14</c:v>
                </c:pt>
                <c:pt idx="3">
                  <c:v>12</c:v>
                </c:pt>
              </c:numCache>
            </c:numRef>
          </c:val>
          <c:extLst>
            <c:ext xmlns:c16="http://schemas.microsoft.com/office/drawing/2014/chart" uri="{C3380CC4-5D6E-409C-BE32-E72D297353CC}">
              <c16:uniqueId val="{00000000-EB11-488C-8B4E-C9A12A51114D}"/>
            </c:ext>
          </c:extLst>
        </c:ser>
        <c:dLbls>
          <c:showLegendKey val="0"/>
          <c:showVal val="0"/>
          <c:showCatName val="0"/>
          <c:showSerName val="0"/>
          <c:showPercent val="0"/>
          <c:showBubbleSize val="0"/>
        </c:dLbls>
        <c:gapWidth val="150"/>
        <c:axId val="35286391"/>
        <c:axId val="24471506"/>
      </c:barChart>
      <c:catAx>
        <c:axId val="35286391"/>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24471506"/>
        <c:crosses val="autoZero"/>
        <c:auto val="1"/>
        <c:lblAlgn val="ctr"/>
        <c:lblOffset val="100"/>
        <c:noMultiLvlLbl val="0"/>
      </c:catAx>
      <c:valAx>
        <c:axId val="24471506"/>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Count</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35286391"/>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Root cause profile</a:t>
            </a:r>
          </a:p>
        </c:rich>
      </c:tx>
      <c:overlay val="0"/>
      <c:spPr>
        <a:noFill/>
        <a:ln w="0">
          <a:noFill/>
        </a:ln>
      </c:spPr>
    </c:title>
    <c:autoTitleDeleted val="0"/>
    <c:plotArea>
      <c:layout/>
      <c:barChart>
        <c:barDir val="bar"/>
        <c:grouping val="clustered"/>
        <c:varyColors val="0"/>
        <c:ser>
          <c:idx val="0"/>
          <c:order val="0"/>
          <c:tx>
            <c:strRef>
              <c:f>'Dashboard Data'!$AP$1</c:f>
              <c:strCache>
                <c:ptCount val="1"/>
                <c:pt idx="0">
                  <c:v>Count</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Data'!$AO$2:$AO$9</c:f>
              <c:strCache>
                <c:ptCount val="8"/>
                <c:pt idx="0">
                  <c:v>Business Rule Mapping</c:v>
                </c:pt>
                <c:pt idx="1">
                  <c:v>Configuration</c:v>
                </c:pt>
                <c:pt idx="2">
                  <c:v>Data</c:v>
                </c:pt>
                <c:pt idx="3">
                  <c:v>Environment</c:v>
                </c:pt>
                <c:pt idx="4">
                  <c:v>Integration</c:v>
                </c:pt>
                <c:pt idx="5">
                  <c:v>Reporting Logic</c:v>
                </c:pt>
                <c:pt idx="6">
                  <c:v>Security Role</c:v>
                </c:pt>
                <c:pt idx="7">
                  <c:v>Workflow Logic</c:v>
                </c:pt>
              </c:strCache>
            </c:strRef>
          </c:cat>
          <c:val>
            <c:numRef>
              <c:f>'Dashboard Data'!$AP$2:$AP$9</c:f>
              <c:numCache>
                <c:formatCode>General</c:formatCode>
                <c:ptCount val="8"/>
                <c:pt idx="0">
                  <c:v>4</c:v>
                </c:pt>
                <c:pt idx="1">
                  <c:v>4</c:v>
                </c:pt>
                <c:pt idx="2">
                  <c:v>4</c:v>
                </c:pt>
                <c:pt idx="3">
                  <c:v>3</c:v>
                </c:pt>
                <c:pt idx="4">
                  <c:v>7</c:v>
                </c:pt>
                <c:pt idx="5">
                  <c:v>3</c:v>
                </c:pt>
                <c:pt idx="6">
                  <c:v>4</c:v>
                </c:pt>
                <c:pt idx="7">
                  <c:v>6</c:v>
                </c:pt>
              </c:numCache>
            </c:numRef>
          </c:val>
          <c:extLst>
            <c:ext xmlns:c16="http://schemas.microsoft.com/office/drawing/2014/chart" uri="{C3380CC4-5D6E-409C-BE32-E72D297353CC}">
              <c16:uniqueId val="{00000000-35E3-4AA8-9FB5-EC9EE331813B}"/>
            </c:ext>
          </c:extLst>
        </c:ser>
        <c:dLbls>
          <c:showLegendKey val="0"/>
          <c:showVal val="0"/>
          <c:showCatName val="0"/>
          <c:showSerName val="0"/>
          <c:showPercent val="0"/>
          <c:showBubbleSize val="0"/>
        </c:dLbls>
        <c:gapWidth val="150"/>
        <c:axId val="94953010"/>
        <c:axId val="94505304"/>
      </c:barChart>
      <c:catAx>
        <c:axId val="94953010"/>
        <c:scaling>
          <c:orientation val="minMax"/>
        </c:scaling>
        <c:delete val="0"/>
        <c:axPos val="l"/>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94505304"/>
        <c:crosses val="autoZero"/>
        <c:auto val="1"/>
        <c:lblAlgn val="ctr"/>
        <c:lblOffset val="100"/>
        <c:noMultiLvlLbl val="0"/>
      </c:catAx>
      <c:valAx>
        <c:axId val="94505304"/>
        <c:scaling>
          <c:orientation val="minMax"/>
        </c:scaling>
        <c:delete val="0"/>
        <c:axPos val="b"/>
        <c:majorGridlines>
          <c:spPr>
            <a:ln w="9360">
              <a:solidFill>
                <a:srgbClr val="878787"/>
              </a:solidFill>
              <a:round/>
            </a:ln>
          </c:spPr>
        </c:majorGridlines>
        <c:title>
          <c:tx>
            <c:rich>
              <a:bodyPr rot="0"/>
              <a:lstStyle/>
              <a:p>
                <a:pPr>
                  <a:defRPr sz="1300" b="0" u="none" strike="noStrike">
                    <a:uFillTx/>
                    <a:latin typeface="Arial"/>
                  </a:defRPr>
                </a:pPr>
                <a:r>
                  <a:rPr lang="en-GB" sz="1000" b="1" u="none" strike="noStrike">
                    <a:solidFill>
                      <a:srgbClr val="000000"/>
                    </a:solidFill>
                    <a:uFillTx/>
                    <a:latin typeface="Calibri"/>
                  </a:rPr>
                  <a:t>Count</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94953010"/>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Checklist completion by category</a:t>
            </a:r>
          </a:p>
        </c:rich>
      </c:tx>
      <c:overlay val="0"/>
      <c:spPr>
        <a:noFill/>
        <a:ln w="0">
          <a:noFill/>
        </a:ln>
      </c:spPr>
    </c:title>
    <c:autoTitleDeleted val="0"/>
    <c:plotArea>
      <c:layout/>
      <c:barChart>
        <c:barDir val="col"/>
        <c:grouping val="clustered"/>
        <c:varyColors val="0"/>
        <c:ser>
          <c:idx val="0"/>
          <c:order val="0"/>
          <c:tx>
            <c:strRef>
              <c:f>'Dashboard Data'!$E$1</c:f>
              <c:strCache>
                <c:ptCount val="1"/>
                <c:pt idx="0">
                  <c:v>Complete %</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Data'!$D$2:$D$11</c:f>
              <c:strCache>
                <c:ptCount val="10"/>
                <c:pt idx="0">
                  <c:v>Governance &amp; Planning</c:v>
                </c:pt>
                <c:pt idx="1">
                  <c:v>Scope &amp; Requirements</c:v>
                </c:pt>
                <c:pt idx="2">
                  <c:v>Scripts &amp; Scenarios</c:v>
                </c:pt>
                <c:pt idx="3">
                  <c:v>Tester Readiness</c:v>
                </c:pt>
                <c:pt idx="4">
                  <c:v>Training &amp; Communications</c:v>
                </c:pt>
                <c:pt idx="5">
                  <c:v>Environment &amp; Access</c:v>
                </c:pt>
                <c:pt idx="6">
                  <c:v>Test Data</c:v>
                </c:pt>
                <c:pt idx="7">
                  <c:v>Support Model</c:v>
                </c:pt>
                <c:pt idx="8">
                  <c:v>Defect Triage &amp; Governance</c:v>
                </c:pt>
                <c:pt idx="9">
                  <c:v>Reporting &amp; Sign-Off</c:v>
                </c:pt>
              </c:strCache>
            </c:strRef>
          </c:cat>
          <c:val>
            <c:numRef>
              <c:f>'Dashboard Data'!$E$2:$E$11</c:f>
              <c:numCache>
                <c:formatCode>General</c:formatCode>
                <c:ptCount val="10"/>
                <c:pt idx="0">
                  <c:v>0.8571428571428571</c:v>
                </c:pt>
                <c:pt idx="1">
                  <c:v>0.5714285714285714</c:v>
                </c:pt>
                <c:pt idx="2">
                  <c:v>0.7142857142857143</c:v>
                </c:pt>
                <c:pt idx="3">
                  <c:v>0.42857142857142855</c:v>
                </c:pt>
                <c:pt idx="4">
                  <c:v>0.5714285714285714</c:v>
                </c:pt>
                <c:pt idx="5">
                  <c:v>1</c:v>
                </c:pt>
                <c:pt idx="6">
                  <c:v>0.42857142857142855</c:v>
                </c:pt>
                <c:pt idx="7">
                  <c:v>0.2857142857142857</c:v>
                </c:pt>
                <c:pt idx="8">
                  <c:v>0.5714285714285714</c:v>
                </c:pt>
                <c:pt idx="9">
                  <c:v>0.42857142857142855</c:v>
                </c:pt>
              </c:numCache>
            </c:numRef>
          </c:val>
          <c:extLst>
            <c:ext xmlns:c16="http://schemas.microsoft.com/office/drawing/2014/chart" uri="{C3380CC4-5D6E-409C-BE32-E72D297353CC}">
              <c16:uniqueId val="{00000000-5C06-496B-A260-5FEEA35CEDDA}"/>
            </c:ext>
          </c:extLst>
        </c:ser>
        <c:dLbls>
          <c:showLegendKey val="0"/>
          <c:showVal val="0"/>
          <c:showCatName val="0"/>
          <c:showSerName val="0"/>
          <c:showPercent val="0"/>
          <c:showBubbleSize val="0"/>
        </c:dLbls>
        <c:gapWidth val="150"/>
        <c:axId val="70267502"/>
        <c:axId val="53241700"/>
      </c:barChart>
      <c:catAx>
        <c:axId val="70267502"/>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53241700"/>
        <c:crosses val="autoZero"/>
        <c:auto val="1"/>
        <c:lblAlgn val="ctr"/>
        <c:lblOffset val="100"/>
        <c:noMultiLvlLbl val="0"/>
      </c:catAx>
      <c:valAx>
        <c:axId val="53241700"/>
        <c:scaling>
          <c:orientation val="minMax"/>
          <c:max val="1"/>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Completion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70267502"/>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Environment / data / access readiness</a:t>
            </a:r>
          </a:p>
        </c:rich>
      </c:tx>
      <c:overlay val="0"/>
      <c:spPr>
        <a:noFill/>
        <a:ln w="0">
          <a:noFill/>
        </a:ln>
      </c:spPr>
    </c:title>
    <c:autoTitleDeleted val="0"/>
    <c:plotArea>
      <c:layout/>
      <c:barChart>
        <c:barDir val="col"/>
        <c:grouping val="clustered"/>
        <c:varyColors val="0"/>
        <c:ser>
          <c:idx val="0"/>
          <c:order val="0"/>
          <c:tx>
            <c:strRef>
              <c:f>'Dashboard Data'!$AB$1</c:f>
              <c:strCache>
                <c:ptCount val="1"/>
                <c:pt idx="0">
                  <c:v>Complete %</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Data'!$AA$2:$AA$6</c:f>
              <c:strCache>
                <c:ptCount val="5"/>
                <c:pt idx="0">
                  <c:v>Environment</c:v>
                </c:pt>
                <c:pt idx="1">
                  <c:v>Access</c:v>
                </c:pt>
                <c:pt idx="2">
                  <c:v>Data</c:v>
                </c:pt>
                <c:pt idx="3">
                  <c:v>Integration</c:v>
                </c:pt>
                <c:pt idx="4">
                  <c:v>Tooling</c:v>
                </c:pt>
              </c:strCache>
            </c:strRef>
          </c:cat>
          <c:val>
            <c:numRef>
              <c:f>'Dashboard Data'!$AB$2:$AB$6</c:f>
              <c:numCache>
                <c:formatCode>General</c:formatCode>
                <c:ptCount val="5"/>
                <c:pt idx="0">
                  <c:v>0.6</c:v>
                </c:pt>
                <c:pt idx="1">
                  <c:v>0.6</c:v>
                </c:pt>
                <c:pt idx="2">
                  <c:v>0.4</c:v>
                </c:pt>
                <c:pt idx="3">
                  <c:v>0.4</c:v>
                </c:pt>
                <c:pt idx="4">
                  <c:v>0.6</c:v>
                </c:pt>
              </c:numCache>
            </c:numRef>
          </c:val>
          <c:extLst>
            <c:ext xmlns:c16="http://schemas.microsoft.com/office/drawing/2014/chart" uri="{C3380CC4-5D6E-409C-BE32-E72D297353CC}">
              <c16:uniqueId val="{00000000-AA3B-4C35-BC45-D8C84B5BEF34}"/>
            </c:ext>
          </c:extLst>
        </c:ser>
        <c:dLbls>
          <c:showLegendKey val="0"/>
          <c:showVal val="0"/>
          <c:showCatName val="0"/>
          <c:showSerName val="0"/>
          <c:showPercent val="0"/>
          <c:showBubbleSize val="0"/>
        </c:dLbls>
        <c:gapWidth val="150"/>
        <c:axId val="18407786"/>
        <c:axId val="79343864"/>
      </c:barChart>
      <c:catAx>
        <c:axId val="18407786"/>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79343864"/>
        <c:crosses val="autoZero"/>
        <c:auto val="1"/>
        <c:lblAlgn val="ctr"/>
        <c:lblOffset val="100"/>
        <c:noMultiLvlLbl val="0"/>
      </c:catAx>
      <c:valAx>
        <c:axId val="79343864"/>
        <c:scaling>
          <c:orientation val="minMax"/>
          <c:max val="1"/>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Complete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18407786"/>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Open risk profile</a:t>
            </a:r>
          </a:p>
        </c:rich>
      </c:tx>
      <c:overlay val="0"/>
      <c:spPr>
        <a:noFill/>
        <a:ln w="0">
          <a:noFill/>
        </a:ln>
      </c:spPr>
    </c:title>
    <c:autoTitleDeleted val="0"/>
    <c:plotArea>
      <c:layout/>
      <c:doughnutChart>
        <c:varyColors val="1"/>
        <c:ser>
          <c:idx val="0"/>
          <c:order val="0"/>
          <c:tx>
            <c:strRef>
              <c:f>'Dashboard Data'!$AM$1</c:f>
              <c:strCache>
                <c:ptCount val="1"/>
                <c:pt idx="0">
                  <c:v>Count</c:v>
                </c:pt>
              </c:strCache>
            </c:strRef>
          </c:tx>
          <c:spPr>
            <a:solidFill>
              <a:srgbClr val="4F81BD"/>
            </a:solidFill>
            <a:ln w="9360">
              <a:solidFill>
                <a:srgbClr val="F9F9F9"/>
              </a:solidFill>
              <a:round/>
            </a:ln>
          </c:spPr>
          <c:dPt>
            <c:idx val="0"/>
            <c:bubble3D val="0"/>
            <c:extLst>
              <c:ext xmlns:c16="http://schemas.microsoft.com/office/drawing/2014/chart" uri="{C3380CC4-5D6E-409C-BE32-E72D297353CC}">
                <c16:uniqueId val="{00000001-A029-4886-80C5-495D3C417A7A}"/>
              </c:ext>
            </c:extLst>
          </c:dPt>
          <c:dPt>
            <c:idx val="1"/>
            <c:bubble3D val="0"/>
            <c:spPr>
              <a:solidFill>
                <a:srgbClr val="C0504D"/>
              </a:solidFill>
              <a:ln w="9360">
                <a:solidFill>
                  <a:srgbClr val="F9F9F9"/>
                </a:solidFill>
                <a:round/>
              </a:ln>
            </c:spPr>
            <c:extLst>
              <c:ext xmlns:c16="http://schemas.microsoft.com/office/drawing/2014/chart" uri="{C3380CC4-5D6E-409C-BE32-E72D297353CC}">
                <c16:uniqueId val="{00000003-A029-4886-80C5-495D3C417A7A}"/>
              </c:ext>
            </c:extLst>
          </c:dPt>
          <c:dPt>
            <c:idx val="2"/>
            <c:bubble3D val="0"/>
            <c:spPr>
              <a:solidFill>
                <a:srgbClr val="9BBB59"/>
              </a:solidFill>
              <a:ln w="9360">
                <a:solidFill>
                  <a:srgbClr val="F9F9F9"/>
                </a:solidFill>
                <a:round/>
              </a:ln>
            </c:spPr>
            <c:extLst>
              <c:ext xmlns:c16="http://schemas.microsoft.com/office/drawing/2014/chart" uri="{C3380CC4-5D6E-409C-BE32-E72D297353CC}">
                <c16:uniqueId val="{00000005-A029-4886-80C5-495D3C417A7A}"/>
              </c:ext>
            </c:extLst>
          </c:dPt>
          <c:dLbls>
            <c:dLbl>
              <c:idx val="0"/>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1-A029-4886-80C5-495D3C417A7A}"/>
                </c:ext>
              </c:extLst>
            </c:dLbl>
            <c:dLbl>
              <c:idx val="1"/>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3-A029-4886-80C5-495D3C417A7A}"/>
                </c:ext>
              </c:extLst>
            </c:dLbl>
            <c:dLbl>
              <c:idx val="2"/>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5-A029-4886-80C5-495D3C417A7A}"/>
                </c:ext>
              </c:extLst>
            </c:dLbl>
            <c:spPr>
              <a:noFill/>
              <a:ln>
                <a:noFill/>
              </a:ln>
              <a:effectLst/>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separator>; </c:separator>
            <c:showLeaderLines val="1"/>
            <c:leaderLines>
              <c:spPr>
                <a:ln>
                  <a:solidFill>
                    <a:srgbClr val="F9F9F9"/>
                  </a:solidFill>
                </a:ln>
              </c:spPr>
            </c:leaderLines>
            <c:extLst>
              <c:ext xmlns:c15="http://schemas.microsoft.com/office/drawing/2012/chart" uri="{CE6537A1-D6FC-4f65-9D91-7224C49458BB}"/>
            </c:extLst>
          </c:dLbls>
          <c:cat>
            <c:strRef>
              <c:f>'Dashboard Data'!$AL$2:$AL$4</c:f>
              <c:strCache>
                <c:ptCount val="3"/>
                <c:pt idx="0">
                  <c:v>Red</c:v>
                </c:pt>
                <c:pt idx="1">
                  <c:v>Amber</c:v>
                </c:pt>
                <c:pt idx="2">
                  <c:v>Green</c:v>
                </c:pt>
              </c:strCache>
            </c:strRef>
          </c:cat>
          <c:val>
            <c:numRef>
              <c:f>'Dashboard Data'!$AM$2:$AM$4</c:f>
              <c:numCache>
                <c:formatCode>General</c:formatCode>
                <c:ptCount val="3"/>
                <c:pt idx="0">
                  <c:v>4</c:v>
                </c:pt>
                <c:pt idx="1">
                  <c:v>6</c:v>
                </c:pt>
                <c:pt idx="2">
                  <c:v>2</c:v>
                </c:pt>
              </c:numCache>
            </c:numRef>
          </c:val>
          <c:extLst>
            <c:ext xmlns:c16="http://schemas.microsoft.com/office/drawing/2014/chart" uri="{C3380CC4-5D6E-409C-BE32-E72D297353CC}">
              <c16:uniqueId val="{00000006-A029-4886-80C5-495D3C417A7A}"/>
            </c:ext>
          </c:extLst>
        </c:ser>
        <c:dLbls>
          <c:showLegendKey val="0"/>
          <c:showVal val="0"/>
          <c:showCatName val="0"/>
          <c:showSerName val="0"/>
          <c:showPercent val="0"/>
          <c:showBubbleSize val="0"/>
          <c:showLeaderLines val="1"/>
        </c:dLbls>
        <c:firstSliceAng val="0"/>
        <c:holeSize val="50"/>
      </c:doughnutChart>
      <c:spPr>
        <a:no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Readiness blockers by dependency category</a:t>
            </a:r>
          </a:p>
        </c:rich>
      </c:tx>
      <c:overlay val="0"/>
      <c:spPr>
        <a:noFill/>
        <a:ln w="0">
          <a:noFill/>
        </a:ln>
      </c:spPr>
    </c:title>
    <c:autoTitleDeleted val="0"/>
    <c:plotArea>
      <c:layout/>
      <c:barChart>
        <c:barDir val="col"/>
        <c:grouping val="clustered"/>
        <c:varyColors val="0"/>
        <c:ser>
          <c:idx val="0"/>
          <c:order val="0"/>
          <c:tx>
            <c:strRef>
              <c:f>'Dashboard Data'!$AC$1</c:f>
              <c:strCache>
                <c:ptCount val="1"/>
                <c:pt idx="0">
                  <c:v>Blockers</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Data'!$AA$2:$AA$6</c:f>
              <c:strCache>
                <c:ptCount val="5"/>
                <c:pt idx="0">
                  <c:v>Environment</c:v>
                </c:pt>
                <c:pt idx="1">
                  <c:v>Access</c:v>
                </c:pt>
                <c:pt idx="2">
                  <c:v>Data</c:v>
                </c:pt>
                <c:pt idx="3">
                  <c:v>Integration</c:v>
                </c:pt>
                <c:pt idx="4">
                  <c:v>Tooling</c:v>
                </c:pt>
              </c:strCache>
            </c:strRef>
          </c:cat>
          <c:val>
            <c:numRef>
              <c:f>'Dashboard Data'!$AC$2:$AC$6</c:f>
              <c:numCache>
                <c:formatCode>General</c:formatCode>
                <c:ptCount val="5"/>
                <c:pt idx="0">
                  <c:v>1</c:v>
                </c:pt>
                <c:pt idx="1">
                  <c:v>0</c:v>
                </c:pt>
                <c:pt idx="2">
                  <c:v>1</c:v>
                </c:pt>
                <c:pt idx="3">
                  <c:v>0</c:v>
                </c:pt>
                <c:pt idx="4">
                  <c:v>0</c:v>
                </c:pt>
              </c:numCache>
            </c:numRef>
          </c:val>
          <c:extLst>
            <c:ext xmlns:c16="http://schemas.microsoft.com/office/drawing/2014/chart" uri="{C3380CC4-5D6E-409C-BE32-E72D297353CC}">
              <c16:uniqueId val="{00000000-E61C-462B-B947-6EBB74F0BB3E}"/>
            </c:ext>
          </c:extLst>
        </c:ser>
        <c:dLbls>
          <c:showLegendKey val="0"/>
          <c:showVal val="0"/>
          <c:showCatName val="0"/>
          <c:showSerName val="0"/>
          <c:showPercent val="0"/>
          <c:showBubbleSize val="0"/>
        </c:dLbls>
        <c:gapWidth val="150"/>
        <c:axId val="21392868"/>
        <c:axId val="3505639"/>
      </c:barChart>
      <c:catAx>
        <c:axId val="21392868"/>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3505639"/>
        <c:crosses val="autoZero"/>
        <c:auto val="1"/>
        <c:lblAlgn val="ctr"/>
        <c:lblOffset val="100"/>
        <c:noMultiLvlLbl val="0"/>
      </c:catAx>
      <c:valAx>
        <c:axId val="3505639"/>
        <c:scaling>
          <c:orientation val="minMax"/>
          <c:max val="5"/>
          <c:min val="0"/>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Blockers</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21392868"/>
        <c:crosses val="autoZero"/>
        <c:crossBetween val="between"/>
        <c:majorUnit val="1"/>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Execution trend by day</a:t>
            </a:r>
          </a:p>
        </c:rich>
      </c:tx>
      <c:overlay val="0"/>
      <c:spPr>
        <a:noFill/>
        <a:ln w="0">
          <a:noFill/>
        </a:ln>
      </c:spPr>
    </c:title>
    <c:autoTitleDeleted val="0"/>
    <c:plotArea>
      <c:layout/>
      <c:lineChart>
        <c:grouping val="standard"/>
        <c:varyColors val="0"/>
        <c:ser>
          <c:idx val="0"/>
          <c:order val="0"/>
          <c:spPr>
            <a:ln w="47520">
              <a:solidFill>
                <a:srgbClr val="4A7EBB"/>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47520">
                      <a:solidFill>
                        <a:srgbClr val="000000"/>
                      </a:solidFill>
                    </a:ln>
                  </c:spPr>
                </c15:leaderLines>
              </c:ext>
            </c:extLst>
          </c:dLbls>
          <c:cat>
            <c:numRef>
              <c:f>'Dashboard Data'!$O$2:$O$16</c:f>
              <c:numCache>
                <c:formatCode>d\-mmm</c:formatCode>
                <c:ptCount val="15"/>
                <c:pt idx="0">
                  <c:v>46077</c:v>
                </c:pt>
                <c:pt idx="1">
                  <c:v>46078</c:v>
                </c:pt>
                <c:pt idx="2">
                  <c:v>46079</c:v>
                </c:pt>
                <c:pt idx="3">
                  <c:v>46080</c:v>
                </c:pt>
                <c:pt idx="4">
                  <c:v>46081</c:v>
                </c:pt>
                <c:pt idx="5">
                  <c:v>46082</c:v>
                </c:pt>
                <c:pt idx="6">
                  <c:v>46083</c:v>
                </c:pt>
                <c:pt idx="7">
                  <c:v>46084</c:v>
                </c:pt>
                <c:pt idx="8">
                  <c:v>46085</c:v>
                </c:pt>
                <c:pt idx="9">
                  <c:v>46086</c:v>
                </c:pt>
                <c:pt idx="10">
                  <c:v>46087</c:v>
                </c:pt>
                <c:pt idx="11">
                  <c:v>46088</c:v>
                </c:pt>
                <c:pt idx="12">
                  <c:v>46089</c:v>
                </c:pt>
                <c:pt idx="13">
                  <c:v>46090</c:v>
                </c:pt>
                <c:pt idx="14">
                  <c:v>46091</c:v>
                </c:pt>
              </c:numCache>
            </c:numRef>
          </c:cat>
          <c:val>
            <c:numRef>
              <c:f>'Dashboard Data'!$P$2:$P$16</c:f>
              <c:numCache>
                <c:formatCode>General</c:formatCode>
                <c:ptCount val="15"/>
                <c:pt idx="0">
                  <c:v>12</c:v>
                </c:pt>
                <c:pt idx="1">
                  <c:v>11</c:v>
                </c:pt>
                <c:pt idx="2">
                  <c:v>6</c:v>
                </c:pt>
                <c:pt idx="3">
                  <c:v>9</c:v>
                </c:pt>
                <c:pt idx="4">
                  <c:v>7</c:v>
                </c:pt>
                <c:pt idx="5">
                  <c:v>12</c:v>
                </c:pt>
                <c:pt idx="6">
                  <c:v>10</c:v>
                </c:pt>
                <c:pt idx="7">
                  <c:v>8</c:v>
                </c:pt>
                <c:pt idx="8">
                  <c:v>11</c:v>
                </c:pt>
                <c:pt idx="9">
                  <c:v>10</c:v>
                </c:pt>
                <c:pt idx="10">
                  <c:v>11</c:v>
                </c:pt>
                <c:pt idx="11">
                  <c:v>12</c:v>
                </c:pt>
                <c:pt idx="12">
                  <c:v>12</c:v>
                </c:pt>
                <c:pt idx="13">
                  <c:v>8</c:v>
                </c:pt>
                <c:pt idx="14">
                  <c:v>11</c:v>
                </c:pt>
              </c:numCache>
            </c:numRef>
          </c:val>
          <c:smooth val="1"/>
          <c:extLst>
            <c:ext xmlns:c16="http://schemas.microsoft.com/office/drawing/2014/chart" uri="{C3380CC4-5D6E-409C-BE32-E72D297353CC}">
              <c16:uniqueId val="{00000000-52E9-424F-8612-D02C4EF220CB}"/>
            </c:ext>
          </c:extLst>
        </c:ser>
        <c:ser>
          <c:idx val="1"/>
          <c:order val="1"/>
          <c:spPr>
            <a:ln w="47520">
              <a:solidFill>
                <a:srgbClr val="BE4B48"/>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47520">
                      <a:solidFill>
                        <a:srgbClr val="000000"/>
                      </a:solidFill>
                    </a:ln>
                  </c:spPr>
                </c15:leaderLines>
              </c:ext>
            </c:extLst>
          </c:dLbls>
          <c:cat>
            <c:numRef>
              <c:f>'Dashboard Data'!$O$2:$O$16</c:f>
              <c:numCache>
                <c:formatCode>d\-mmm</c:formatCode>
                <c:ptCount val="15"/>
                <c:pt idx="0">
                  <c:v>46077</c:v>
                </c:pt>
                <c:pt idx="1">
                  <c:v>46078</c:v>
                </c:pt>
                <c:pt idx="2">
                  <c:v>46079</c:v>
                </c:pt>
                <c:pt idx="3">
                  <c:v>46080</c:v>
                </c:pt>
                <c:pt idx="4">
                  <c:v>46081</c:v>
                </c:pt>
                <c:pt idx="5">
                  <c:v>46082</c:v>
                </c:pt>
                <c:pt idx="6">
                  <c:v>46083</c:v>
                </c:pt>
                <c:pt idx="7">
                  <c:v>46084</c:v>
                </c:pt>
                <c:pt idx="8">
                  <c:v>46085</c:v>
                </c:pt>
                <c:pt idx="9">
                  <c:v>46086</c:v>
                </c:pt>
                <c:pt idx="10">
                  <c:v>46087</c:v>
                </c:pt>
                <c:pt idx="11">
                  <c:v>46088</c:v>
                </c:pt>
                <c:pt idx="12">
                  <c:v>46089</c:v>
                </c:pt>
                <c:pt idx="13">
                  <c:v>46090</c:v>
                </c:pt>
                <c:pt idx="14">
                  <c:v>46091</c:v>
                </c:pt>
              </c:numCache>
            </c:numRef>
          </c:cat>
          <c:val>
            <c:numRef>
              <c:f>'Dashboard Data'!$Q$2:$Q$16</c:f>
              <c:numCache>
                <c:formatCode>General</c:formatCode>
                <c:ptCount val="15"/>
                <c:pt idx="0">
                  <c:v>10</c:v>
                </c:pt>
                <c:pt idx="1">
                  <c:v>7</c:v>
                </c:pt>
                <c:pt idx="2">
                  <c:v>3</c:v>
                </c:pt>
                <c:pt idx="3">
                  <c:v>6</c:v>
                </c:pt>
                <c:pt idx="4">
                  <c:v>5</c:v>
                </c:pt>
                <c:pt idx="5">
                  <c:v>5</c:v>
                </c:pt>
                <c:pt idx="6">
                  <c:v>7</c:v>
                </c:pt>
                <c:pt idx="7">
                  <c:v>6</c:v>
                </c:pt>
                <c:pt idx="8">
                  <c:v>8</c:v>
                </c:pt>
                <c:pt idx="9">
                  <c:v>8</c:v>
                </c:pt>
                <c:pt idx="10">
                  <c:v>7</c:v>
                </c:pt>
                <c:pt idx="11">
                  <c:v>6</c:v>
                </c:pt>
                <c:pt idx="12">
                  <c:v>6</c:v>
                </c:pt>
                <c:pt idx="13">
                  <c:v>1</c:v>
                </c:pt>
                <c:pt idx="14">
                  <c:v>5</c:v>
                </c:pt>
              </c:numCache>
            </c:numRef>
          </c:val>
          <c:smooth val="1"/>
          <c:extLst>
            <c:ext xmlns:c16="http://schemas.microsoft.com/office/drawing/2014/chart" uri="{C3380CC4-5D6E-409C-BE32-E72D297353CC}">
              <c16:uniqueId val="{00000001-52E9-424F-8612-D02C4EF220CB}"/>
            </c:ext>
          </c:extLst>
        </c:ser>
        <c:ser>
          <c:idx val="2"/>
          <c:order val="2"/>
          <c:spPr>
            <a:ln w="47520">
              <a:solidFill>
                <a:srgbClr val="98B855"/>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47520">
                      <a:solidFill>
                        <a:srgbClr val="000000"/>
                      </a:solidFill>
                    </a:ln>
                  </c:spPr>
                </c15:leaderLines>
              </c:ext>
            </c:extLst>
          </c:dLbls>
          <c:cat>
            <c:numRef>
              <c:f>'Dashboard Data'!$O$2:$O$16</c:f>
              <c:numCache>
                <c:formatCode>d\-mmm</c:formatCode>
                <c:ptCount val="15"/>
                <c:pt idx="0">
                  <c:v>46077</c:v>
                </c:pt>
                <c:pt idx="1">
                  <c:v>46078</c:v>
                </c:pt>
                <c:pt idx="2">
                  <c:v>46079</c:v>
                </c:pt>
                <c:pt idx="3">
                  <c:v>46080</c:v>
                </c:pt>
                <c:pt idx="4">
                  <c:v>46081</c:v>
                </c:pt>
                <c:pt idx="5">
                  <c:v>46082</c:v>
                </c:pt>
                <c:pt idx="6">
                  <c:v>46083</c:v>
                </c:pt>
                <c:pt idx="7">
                  <c:v>46084</c:v>
                </c:pt>
                <c:pt idx="8">
                  <c:v>46085</c:v>
                </c:pt>
                <c:pt idx="9">
                  <c:v>46086</c:v>
                </c:pt>
                <c:pt idx="10">
                  <c:v>46087</c:v>
                </c:pt>
                <c:pt idx="11">
                  <c:v>46088</c:v>
                </c:pt>
                <c:pt idx="12">
                  <c:v>46089</c:v>
                </c:pt>
                <c:pt idx="13">
                  <c:v>46090</c:v>
                </c:pt>
                <c:pt idx="14">
                  <c:v>46091</c:v>
                </c:pt>
              </c:numCache>
            </c:numRef>
          </c:cat>
          <c:val>
            <c:numRef>
              <c:f>'Dashboard Data'!$R$2:$R$16</c:f>
              <c:numCache>
                <c:formatCode>General</c:formatCode>
                <c:ptCount val="15"/>
                <c:pt idx="0">
                  <c:v>0</c:v>
                </c:pt>
                <c:pt idx="1">
                  <c:v>2</c:v>
                </c:pt>
                <c:pt idx="2">
                  <c:v>2</c:v>
                </c:pt>
                <c:pt idx="3">
                  <c:v>2</c:v>
                </c:pt>
                <c:pt idx="4">
                  <c:v>1</c:v>
                </c:pt>
                <c:pt idx="5">
                  <c:v>3</c:v>
                </c:pt>
                <c:pt idx="6">
                  <c:v>1</c:v>
                </c:pt>
                <c:pt idx="7">
                  <c:v>2</c:v>
                </c:pt>
                <c:pt idx="8">
                  <c:v>1</c:v>
                </c:pt>
                <c:pt idx="9">
                  <c:v>2</c:v>
                </c:pt>
                <c:pt idx="10">
                  <c:v>1</c:v>
                </c:pt>
                <c:pt idx="11">
                  <c:v>2</c:v>
                </c:pt>
                <c:pt idx="12">
                  <c:v>3</c:v>
                </c:pt>
                <c:pt idx="13">
                  <c:v>4</c:v>
                </c:pt>
                <c:pt idx="14">
                  <c:v>2</c:v>
                </c:pt>
              </c:numCache>
            </c:numRef>
          </c:val>
          <c:smooth val="1"/>
          <c:extLst>
            <c:ext xmlns:c16="http://schemas.microsoft.com/office/drawing/2014/chart" uri="{C3380CC4-5D6E-409C-BE32-E72D297353CC}">
              <c16:uniqueId val="{00000002-52E9-424F-8612-D02C4EF220CB}"/>
            </c:ext>
          </c:extLst>
        </c:ser>
        <c:ser>
          <c:idx val="3"/>
          <c:order val="3"/>
          <c:spPr>
            <a:ln w="47520">
              <a:solidFill>
                <a:srgbClr val="7D5FA0"/>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47520">
                      <a:solidFill>
                        <a:srgbClr val="000000"/>
                      </a:solidFill>
                    </a:ln>
                  </c:spPr>
                </c15:leaderLines>
              </c:ext>
            </c:extLst>
          </c:dLbls>
          <c:cat>
            <c:numRef>
              <c:f>'Dashboard Data'!$O$2:$O$16</c:f>
              <c:numCache>
                <c:formatCode>d\-mmm</c:formatCode>
                <c:ptCount val="15"/>
                <c:pt idx="0">
                  <c:v>46077</c:v>
                </c:pt>
                <c:pt idx="1">
                  <c:v>46078</c:v>
                </c:pt>
                <c:pt idx="2">
                  <c:v>46079</c:v>
                </c:pt>
                <c:pt idx="3">
                  <c:v>46080</c:v>
                </c:pt>
                <c:pt idx="4">
                  <c:v>46081</c:v>
                </c:pt>
                <c:pt idx="5">
                  <c:v>46082</c:v>
                </c:pt>
                <c:pt idx="6">
                  <c:v>46083</c:v>
                </c:pt>
                <c:pt idx="7">
                  <c:v>46084</c:v>
                </c:pt>
                <c:pt idx="8">
                  <c:v>46085</c:v>
                </c:pt>
                <c:pt idx="9">
                  <c:v>46086</c:v>
                </c:pt>
                <c:pt idx="10">
                  <c:v>46087</c:v>
                </c:pt>
                <c:pt idx="11">
                  <c:v>46088</c:v>
                </c:pt>
                <c:pt idx="12">
                  <c:v>46089</c:v>
                </c:pt>
                <c:pt idx="13">
                  <c:v>46090</c:v>
                </c:pt>
                <c:pt idx="14">
                  <c:v>46091</c:v>
                </c:pt>
              </c:numCache>
            </c:numRef>
          </c:cat>
          <c:val>
            <c:numRef>
              <c:f>'Dashboard Data'!$S$2:$S$16</c:f>
              <c:numCache>
                <c:formatCode>General</c:formatCode>
                <c:ptCount val="15"/>
                <c:pt idx="0">
                  <c:v>1</c:v>
                </c:pt>
                <c:pt idx="1">
                  <c:v>1</c:v>
                </c:pt>
                <c:pt idx="2">
                  <c:v>1</c:v>
                </c:pt>
                <c:pt idx="3">
                  <c:v>1</c:v>
                </c:pt>
                <c:pt idx="4">
                  <c:v>1</c:v>
                </c:pt>
                <c:pt idx="5">
                  <c:v>1</c:v>
                </c:pt>
                <c:pt idx="6">
                  <c:v>2</c:v>
                </c:pt>
                <c:pt idx="7">
                  <c:v>0</c:v>
                </c:pt>
                <c:pt idx="8">
                  <c:v>1</c:v>
                </c:pt>
                <c:pt idx="9">
                  <c:v>0</c:v>
                </c:pt>
                <c:pt idx="10">
                  <c:v>1</c:v>
                </c:pt>
                <c:pt idx="11">
                  <c:v>2</c:v>
                </c:pt>
                <c:pt idx="12">
                  <c:v>2</c:v>
                </c:pt>
                <c:pt idx="13">
                  <c:v>2</c:v>
                </c:pt>
                <c:pt idx="14">
                  <c:v>1</c:v>
                </c:pt>
              </c:numCache>
            </c:numRef>
          </c:val>
          <c:smooth val="1"/>
          <c:extLst>
            <c:ext xmlns:c16="http://schemas.microsoft.com/office/drawing/2014/chart" uri="{C3380CC4-5D6E-409C-BE32-E72D297353CC}">
              <c16:uniqueId val="{00000003-52E9-424F-8612-D02C4EF220CB}"/>
            </c:ext>
          </c:extLst>
        </c:ser>
        <c:dLbls>
          <c:showLegendKey val="0"/>
          <c:showVal val="0"/>
          <c:showCatName val="0"/>
          <c:showSerName val="0"/>
          <c:showPercent val="0"/>
          <c:showBubbleSize val="0"/>
        </c:dLbls>
        <c:hiLowLines>
          <c:spPr>
            <a:ln w="0">
              <a:noFill/>
            </a:ln>
          </c:spPr>
        </c:hiLowLines>
        <c:smooth val="0"/>
        <c:axId val="71841796"/>
        <c:axId val="42311993"/>
      </c:lineChart>
      <c:dateAx>
        <c:axId val="71841796"/>
        <c:scaling>
          <c:orientation val="minMax"/>
        </c:scaling>
        <c:delete val="0"/>
        <c:axPos val="b"/>
        <c:title>
          <c:tx>
            <c:rich>
              <a:bodyPr rot="0"/>
              <a:lstStyle/>
              <a:p>
                <a:pPr>
                  <a:defRPr sz="1300" b="0" u="none" strike="noStrike">
                    <a:uFillTx/>
                    <a:latin typeface="Arial"/>
                  </a:defRPr>
                </a:pPr>
                <a:r>
                  <a:rPr lang="en-GB" sz="1000" b="1" u="none" strike="noStrike">
                    <a:solidFill>
                      <a:srgbClr val="000000"/>
                    </a:solidFill>
                    <a:uFillTx/>
                    <a:latin typeface="Calibri"/>
                  </a:rPr>
                  <a:t>Execution date</a:t>
                </a:r>
              </a:p>
            </c:rich>
          </c:tx>
          <c:overlay val="0"/>
          <c:spPr>
            <a:noFill/>
            <a:ln w="0">
              <a:noFill/>
            </a:ln>
          </c:spPr>
        </c:title>
        <c:numFmt formatCode="d\-mmm"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42311993"/>
        <c:crosses val="autoZero"/>
        <c:auto val="1"/>
        <c:lblOffset val="100"/>
        <c:baseTimeUnit val="days"/>
      </c:dateAx>
      <c:valAx>
        <c:axId val="42311993"/>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Count</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71841796"/>
        <c:crosses val="autoZero"/>
        <c:crossBetween val="between"/>
      </c:valAx>
      <c:spPr>
        <a:no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Open defects by severity</a:t>
            </a:r>
          </a:p>
        </c:rich>
      </c:tx>
      <c:overlay val="0"/>
      <c:spPr>
        <a:noFill/>
        <a:ln w="0">
          <a:noFill/>
        </a:ln>
      </c:spPr>
    </c:title>
    <c:autoTitleDeleted val="0"/>
    <c:plotArea>
      <c:layout/>
      <c:doughnutChart>
        <c:varyColors val="1"/>
        <c:ser>
          <c:idx val="0"/>
          <c:order val="0"/>
          <c:tx>
            <c:strRef>
              <c:f>'Dashboard Data'!$J$1</c:f>
              <c:strCache>
                <c:ptCount val="1"/>
                <c:pt idx="0">
                  <c:v>Open Defects</c:v>
                </c:pt>
              </c:strCache>
            </c:strRef>
          </c:tx>
          <c:spPr>
            <a:solidFill>
              <a:srgbClr val="4F81BD"/>
            </a:solidFill>
            <a:ln w="9360">
              <a:solidFill>
                <a:srgbClr val="F9F9F9"/>
              </a:solidFill>
              <a:round/>
            </a:ln>
          </c:spPr>
          <c:dPt>
            <c:idx val="0"/>
            <c:bubble3D val="0"/>
            <c:extLst>
              <c:ext xmlns:c16="http://schemas.microsoft.com/office/drawing/2014/chart" uri="{C3380CC4-5D6E-409C-BE32-E72D297353CC}">
                <c16:uniqueId val="{00000001-6A08-4F6D-B3C5-196D2881FF7D}"/>
              </c:ext>
            </c:extLst>
          </c:dPt>
          <c:dPt>
            <c:idx val="1"/>
            <c:bubble3D val="0"/>
            <c:spPr>
              <a:solidFill>
                <a:srgbClr val="C0504D"/>
              </a:solidFill>
              <a:ln w="9360">
                <a:solidFill>
                  <a:srgbClr val="F9F9F9"/>
                </a:solidFill>
                <a:round/>
              </a:ln>
            </c:spPr>
            <c:extLst>
              <c:ext xmlns:c16="http://schemas.microsoft.com/office/drawing/2014/chart" uri="{C3380CC4-5D6E-409C-BE32-E72D297353CC}">
                <c16:uniqueId val="{00000003-6A08-4F6D-B3C5-196D2881FF7D}"/>
              </c:ext>
            </c:extLst>
          </c:dPt>
          <c:dPt>
            <c:idx val="2"/>
            <c:bubble3D val="0"/>
            <c:spPr>
              <a:solidFill>
                <a:srgbClr val="9BBB59"/>
              </a:solidFill>
              <a:ln w="9360">
                <a:solidFill>
                  <a:srgbClr val="F9F9F9"/>
                </a:solidFill>
                <a:round/>
              </a:ln>
            </c:spPr>
            <c:extLst>
              <c:ext xmlns:c16="http://schemas.microsoft.com/office/drawing/2014/chart" uri="{C3380CC4-5D6E-409C-BE32-E72D297353CC}">
                <c16:uniqueId val="{00000005-6A08-4F6D-B3C5-196D2881FF7D}"/>
              </c:ext>
            </c:extLst>
          </c:dPt>
          <c:dPt>
            <c:idx val="3"/>
            <c:bubble3D val="0"/>
            <c:spPr>
              <a:solidFill>
                <a:srgbClr val="8064A2"/>
              </a:solidFill>
              <a:ln w="9360">
                <a:solidFill>
                  <a:srgbClr val="F9F9F9"/>
                </a:solidFill>
                <a:round/>
              </a:ln>
            </c:spPr>
            <c:extLst>
              <c:ext xmlns:c16="http://schemas.microsoft.com/office/drawing/2014/chart" uri="{C3380CC4-5D6E-409C-BE32-E72D297353CC}">
                <c16:uniqueId val="{00000007-6A08-4F6D-B3C5-196D2881FF7D}"/>
              </c:ext>
            </c:extLst>
          </c:dPt>
          <c:dLbls>
            <c:dLbl>
              <c:idx val="0"/>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1-6A08-4F6D-B3C5-196D2881FF7D}"/>
                </c:ext>
              </c:extLst>
            </c:dLbl>
            <c:dLbl>
              <c:idx val="1"/>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3-6A08-4F6D-B3C5-196D2881FF7D}"/>
                </c:ext>
              </c:extLst>
            </c:dLbl>
            <c:dLbl>
              <c:idx val="2"/>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5-6A08-4F6D-B3C5-196D2881FF7D}"/>
                </c:ext>
              </c:extLst>
            </c:dLbl>
            <c:dLbl>
              <c:idx val="3"/>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7-6A08-4F6D-B3C5-196D2881FF7D}"/>
                </c:ext>
              </c:extLst>
            </c:dLbl>
            <c:spPr>
              <a:noFill/>
              <a:ln>
                <a:noFill/>
              </a:ln>
              <a:effectLst/>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separator>; </c:separator>
            <c:showLeaderLines val="1"/>
            <c:leaderLines>
              <c:spPr>
                <a:ln>
                  <a:solidFill>
                    <a:srgbClr val="F9F9F9"/>
                  </a:solidFill>
                </a:ln>
              </c:spPr>
            </c:leaderLines>
            <c:extLst>
              <c:ext xmlns:c15="http://schemas.microsoft.com/office/drawing/2012/chart" uri="{CE6537A1-D6FC-4f65-9D91-7224C49458BB}"/>
            </c:extLst>
          </c:dLbls>
          <c:cat>
            <c:strRef>
              <c:f>'Dashboard Data'!$H$2:$H$5</c:f>
              <c:strCache>
                <c:ptCount val="4"/>
                <c:pt idx="0">
                  <c:v>S1 - Critical</c:v>
                </c:pt>
                <c:pt idx="1">
                  <c:v>S2 - High</c:v>
                </c:pt>
                <c:pt idx="2">
                  <c:v>S3 - Medium</c:v>
                </c:pt>
                <c:pt idx="3">
                  <c:v>S4 - Low</c:v>
                </c:pt>
              </c:strCache>
            </c:strRef>
          </c:cat>
          <c:val>
            <c:numRef>
              <c:f>'Dashboard Data'!$J$2:$J$5</c:f>
              <c:numCache>
                <c:formatCode>General</c:formatCode>
                <c:ptCount val="4"/>
                <c:pt idx="0">
                  <c:v>5</c:v>
                </c:pt>
                <c:pt idx="1">
                  <c:v>6</c:v>
                </c:pt>
                <c:pt idx="2">
                  <c:v>6</c:v>
                </c:pt>
                <c:pt idx="3">
                  <c:v>3</c:v>
                </c:pt>
              </c:numCache>
            </c:numRef>
          </c:val>
          <c:extLst>
            <c:ext xmlns:c16="http://schemas.microsoft.com/office/drawing/2014/chart" uri="{C3380CC4-5D6E-409C-BE32-E72D297353CC}">
              <c16:uniqueId val="{00000008-6A08-4F6D-B3C5-196D2881FF7D}"/>
            </c:ext>
          </c:extLst>
        </c:ser>
        <c:dLbls>
          <c:showLegendKey val="0"/>
          <c:showVal val="0"/>
          <c:showCatName val="0"/>
          <c:showSerName val="0"/>
          <c:showPercent val="0"/>
          <c:showBubbleSize val="0"/>
          <c:showLeaderLines val="1"/>
        </c:dLbls>
        <c:firstSliceAng val="270"/>
        <c:holeSize val="50"/>
      </c:doughnutChart>
      <c:spPr>
        <a:no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Milestone status mix</a:t>
            </a:r>
          </a:p>
        </c:rich>
      </c:tx>
      <c:overlay val="0"/>
      <c:spPr>
        <a:noFill/>
        <a:ln w="0">
          <a:noFill/>
        </a:ln>
      </c:spPr>
    </c:title>
    <c:autoTitleDeleted val="0"/>
    <c:plotArea>
      <c:layout/>
      <c:barChart>
        <c:barDir val="col"/>
        <c:grouping val="clustered"/>
        <c:varyColors val="0"/>
        <c:ser>
          <c:idx val="0"/>
          <c:order val="0"/>
          <c:tx>
            <c:strRef>
              <c:f>'Dashboard Data'!$AF$1</c:f>
              <c:strCache>
                <c:ptCount val="1"/>
                <c:pt idx="0">
                  <c:v>Count</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Data'!$AE$2:$AE$5</c:f>
              <c:strCache>
                <c:ptCount val="4"/>
                <c:pt idx="0">
                  <c:v>Complete</c:v>
                </c:pt>
                <c:pt idx="1">
                  <c:v>In Progress</c:v>
                </c:pt>
                <c:pt idx="2">
                  <c:v>At Risk</c:v>
                </c:pt>
                <c:pt idx="3">
                  <c:v>Not Started</c:v>
                </c:pt>
              </c:strCache>
            </c:strRef>
          </c:cat>
          <c:val>
            <c:numRef>
              <c:f>'Dashboard Data'!$AF$2:$AF$5</c:f>
              <c:numCache>
                <c:formatCode>General</c:formatCode>
                <c:ptCount val="4"/>
                <c:pt idx="0">
                  <c:v>10</c:v>
                </c:pt>
                <c:pt idx="1">
                  <c:v>1</c:v>
                </c:pt>
                <c:pt idx="2">
                  <c:v>2</c:v>
                </c:pt>
                <c:pt idx="3">
                  <c:v>2</c:v>
                </c:pt>
              </c:numCache>
            </c:numRef>
          </c:val>
          <c:extLst>
            <c:ext xmlns:c16="http://schemas.microsoft.com/office/drawing/2014/chart" uri="{C3380CC4-5D6E-409C-BE32-E72D297353CC}">
              <c16:uniqueId val="{00000000-B429-4668-9EF7-38D5400A8E47}"/>
            </c:ext>
          </c:extLst>
        </c:ser>
        <c:dLbls>
          <c:showLegendKey val="0"/>
          <c:showVal val="0"/>
          <c:showCatName val="0"/>
          <c:showSerName val="0"/>
          <c:showPercent val="0"/>
          <c:showBubbleSize val="0"/>
        </c:dLbls>
        <c:gapWidth val="150"/>
        <c:axId val="78803813"/>
        <c:axId val="73236265"/>
      </c:barChart>
      <c:catAx>
        <c:axId val="78803813"/>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73236265"/>
        <c:crosses val="autoZero"/>
        <c:auto val="1"/>
        <c:lblAlgn val="ctr"/>
        <c:lblOffset val="100"/>
        <c:noMultiLvlLbl val="0"/>
      </c:catAx>
      <c:valAx>
        <c:axId val="73236265"/>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Count</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78803813"/>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Executed / passed / failed / blocked by day</a:t>
            </a:r>
          </a:p>
        </c:rich>
      </c:tx>
      <c:overlay val="0"/>
      <c:spPr>
        <a:noFill/>
        <a:ln w="0">
          <a:noFill/>
        </a:ln>
      </c:spPr>
    </c:title>
    <c:autoTitleDeleted val="0"/>
    <c:plotArea>
      <c:layout/>
      <c:lineChart>
        <c:grouping val="standard"/>
        <c:varyColors val="0"/>
        <c:ser>
          <c:idx val="0"/>
          <c:order val="0"/>
          <c:spPr>
            <a:ln w="47520">
              <a:solidFill>
                <a:srgbClr val="4A7EBB"/>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47520">
                      <a:solidFill>
                        <a:srgbClr val="000000"/>
                      </a:solidFill>
                    </a:ln>
                  </c:spPr>
                </c15:leaderLines>
              </c:ext>
            </c:extLst>
          </c:dLbls>
          <c:cat>
            <c:numRef>
              <c:f>'Dashboard Data'!$O$2:$O$16</c:f>
              <c:numCache>
                <c:formatCode>d\-mmm</c:formatCode>
                <c:ptCount val="15"/>
                <c:pt idx="0">
                  <c:v>46077</c:v>
                </c:pt>
                <c:pt idx="1">
                  <c:v>46078</c:v>
                </c:pt>
                <c:pt idx="2">
                  <c:v>46079</c:v>
                </c:pt>
                <c:pt idx="3">
                  <c:v>46080</c:v>
                </c:pt>
                <c:pt idx="4">
                  <c:v>46081</c:v>
                </c:pt>
                <c:pt idx="5">
                  <c:v>46082</c:v>
                </c:pt>
                <c:pt idx="6">
                  <c:v>46083</c:v>
                </c:pt>
                <c:pt idx="7">
                  <c:v>46084</c:v>
                </c:pt>
                <c:pt idx="8">
                  <c:v>46085</c:v>
                </c:pt>
                <c:pt idx="9">
                  <c:v>46086</c:v>
                </c:pt>
                <c:pt idx="10">
                  <c:v>46087</c:v>
                </c:pt>
                <c:pt idx="11">
                  <c:v>46088</c:v>
                </c:pt>
                <c:pt idx="12">
                  <c:v>46089</c:v>
                </c:pt>
                <c:pt idx="13">
                  <c:v>46090</c:v>
                </c:pt>
                <c:pt idx="14">
                  <c:v>46091</c:v>
                </c:pt>
              </c:numCache>
            </c:numRef>
          </c:cat>
          <c:val>
            <c:numRef>
              <c:f>'Dashboard Data'!$P$2:$P$16</c:f>
              <c:numCache>
                <c:formatCode>General</c:formatCode>
                <c:ptCount val="15"/>
                <c:pt idx="0">
                  <c:v>12</c:v>
                </c:pt>
                <c:pt idx="1">
                  <c:v>11</c:v>
                </c:pt>
                <c:pt idx="2">
                  <c:v>6</c:v>
                </c:pt>
                <c:pt idx="3">
                  <c:v>9</c:v>
                </c:pt>
                <c:pt idx="4">
                  <c:v>7</c:v>
                </c:pt>
                <c:pt idx="5">
                  <c:v>12</c:v>
                </c:pt>
                <c:pt idx="6">
                  <c:v>10</c:v>
                </c:pt>
                <c:pt idx="7">
                  <c:v>8</c:v>
                </c:pt>
                <c:pt idx="8">
                  <c:v>11</c:v>
                </c:pt>
                <c:pt idx="9">
                  <c:v>10</c:v>
                </c:pt>
                <c:pt idx="10">
                  <c:v>11</c:v>
                </c:pt>
                <c:pt idx="11">
                  <c:v>12</c:v>
                </c:pt>
                <c:pt idx="12">
                  <c:v>12</c:v>
                </c:pt>
                <c:pt idx="13">
                  <c:v>8</c:v>
                </c:pt>
                <c:pt idx="14">
                  <c:v>11</c:v>
                </c:pt>
              </c:numCache>
            </c:numRef>
          </c:val>
          <c:smooth val="1"/>
          <c:extLst>
            <c:ext xmlns:c16="http://schemas.microsoft.com/office/drawing/2014/chart" uri="{C3380CC4-5D6E-409C-BE32-E72D297353CC}">
              <c16:uniqueId val="{00000000-B11D-46CC-8658-01730C146091}"/>
            </c:ext>
          </c:extLst>
        </c:ser>
        <c:ser>
          <c:idx val="1"/>
          <c:order val="1"/>
          <c:spPr>
            <a:ln w="47520">
              <a:solidFill>
                <a:srgbClr val="BE4B48"/>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47520">
                      <a:solidFill>
                        <a:srgbClr val="000000"/>
                      </a:solidFill>
                    </a:ln>
                  </c:spPr>
                </c15:leaderLines>
              </c:ext>
            </c:extLst>
          </c:dLbls>
          <c:cat>
            <c:numRef>
              <c:f>'Dashboard Data'!$O$2:$O$16</c:f>
              <c:numCache>
                <c:formatCode>d\-mmm</c:formatCode>
                <c:ptCount val="15"/>
                <c:pt idx="0">
                  <c:v>46077</c:v>
                </c:pt>
                <c:pt idx="1">
                  <c:v>46078</c:v>
                </c:pt>
                <c:pt idx="2">
                  <c:v>46079</c:v>
                </c:pt>
                <c:pt idx="3">
                  <c:v>46080</c:v>
                </c:pt>
                <c:pt idx="4">
                  <c:v>46081</c:v>
                </c:pt>
                <c:pt idx="5">
                  <c:v>46082</c:v>
                </c:pt>
                <c:pt idx="6">
                  <c:v>46083</c:v>
                </c:pt>
                <c:pt idx="7">
                  <c:v>46084</c:v>
                </c:pt>
                <c:pt idx="8">
                  <c:v>46085</c:v>
                </c:pt>
                <c:pt idx="9">
                  <c:v>46086</c:v>
                </c:pt>
                <c:pt idx="10">
                  <c:v>46087</c:v>
                </c:pt>
                <c:pt idx="11">
                  <c:v>46088</c:v>
                </c:pt>
                <c:pt idx="12">
                  <c:v>46089</c:v>
                </c:pt>
                <c:pt idx="13">
                  <c:v>46090</c:v>
                </c:pt>
                <c:pt idx="14">
                  <c:v>46091</c:v>
                </c:pt>
              </c:numCache>
            </c:numRef>
          </c:cat>
          <c:val>
            <c:numRef>
              <c:f>'Dashboard Data'!$Q$2:$Q$16</c:f>
              <c:numCache>
                <c:formatCode>General</c:formatCode>
                <c:ptCount val="15"/>
                <c:pt idx="0">
                  <c:v>10</c:v>
                </c:pt>
                <c:pt idx="1">
                  <c:v>7</c:v>
                </c:pt>
                <c:pt idx="2">
                  <c:v>3</c:v>
                </c:pt>
                <c:pt idx="3">
                  <c:v>6</c:v>
                </c:pt>
                <c:pt idx="4">
                  <c:v>5</c:v>
                </c:pt>
                <c:pt idx="5">
                  <c:v>5</c:v>
                </c:pt>
                <c:pt idx="6">
                  <c:v>7</c:v>
                </c:pt>
                <c:pt idx="7">
                  <c:v>6</c:v>
                </c:pt>
                <c:pt idx="8">
                  <c:v>8</c:v>
                </c:pt>
                <c:pt idx="9">
                  <c:v>8</c:v>
                </c:pt>
                <c:pt idx="10">
                  <c:v>7</c:v>
                </c:pt>
                <c:pt idx="11">
                  <c:v>6</c:v>
                </c:pt>
                <c:pt idx="12">
                  <c:v>6</c:v>
                </c:pt>
                <c:pt idx="13">
                  <c:v>1</c:v>
                </c:pt>
                <c:pt idx="14">
                  <c:v>5</c:v>
                </c:pt>
              </c:numCache>
            </c:numRef>
          </c:val>
          <c:smooth val="1"/>
          <c:extLst>
            <c:ext xmlns:c16="http://schemas.microsoft.com/office/drawing/2014/chart" uri="{C3380CC4-5D6E-409C-BE32-E72D297353CC}">
              <c16:uniqueId val="{00000001-B11D-46CC-8658-01730C146091}"/>
            </c:ext>
          </c:extLst>
        </c:ser>
        <c:ser>
          <c:idx val="2"/>
          <c:order val="2"/>
          <c:spPr>
            <a:ln w="47520">
              <a:solidFill>
                <a:srgbClr val="98B855"/>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47520">
                      <a:solidFill>
                        <a:srgbClr val="000000"/>
                      </a:solidFill>
                    </a:ln>
                  </c:spPr>
                </c15:leaderLines>
              </c:ext>
            </c:extLst>
          </c:dLbls>
          <c:cat>
            <c:numRef>
              <c:f>'Dashboard Data'!$O$2:$O$16</c:f>
              <c:numCache>
                <c:formatCode>d\-mmm</c:formatCode>
                <c:ptCount val="15"/>
                <c:pt idx="0">
                  <c:v>46077</c:v>
                </c:pt>
                <c:pt idx="1">
                  <c:v>46078</c:v>
                </c:pt>
                <c:pt idx="2">
                  <c:v>46079</c:v>
                </c:pt>
                <c:pt idx="3">
                  <c:v>46080</c:v>
                </c:pt>
                <c:pt idx="4">
                  <c:v>46081</c:v>
                </c:pt>
                <c:pt idx="5">
                  <c:v>46082</c:v>
                </c:pt>
                <c:pt idx="6">
                  <c:v>46083</c:v>
                </c:pt>
                <c:pt idx="7">
                  <c:v>46084</c:v>
                </c:pt>
                <c:pt idx="8">
                  <c:v>46085</c:v>
                </c:pt>
                <c:pt idx="9">
                  <c:v>46086</c:v>
                </c:pt>
                <c:pt idx="10">
                  <c:v>46087</c:v>
                </c:pt>
                <c:pt idx="11">
                  <c:v>46088</c:v>
                </c:pt>
                <c:pt idx="12">
                  <c:v>46089</c:v>
                </c:pt>
                <c:pt idx="13">
                  <c:v>46090</c:v>
                </c:pt>
                <c:pt idx="14">
                  <c:v>46091</c:v>
                </c:pt>
              </c:numCache>
            </c:numRef>
          </c:cat>
          <c:val>
            <c:numRef>
              <c:f>'Dashboard Data'!$R$2:$R$16</c:f>
              <c:numCache>
                <c:formatCode>General</c:formatCode>
                <c:ptCount val="15"/>
                <c:pt idx="0">
                  <c:v>0</c:v>
                </c:pt>
                <c:pt idx="1">
                  <c:v>2</c:v>
                </c:pt>
                <c:pt idx="2">
                  <c:v>2</c:v>
                </c:pt>
                <c:pt idx="3">
                  <c:v>2</c:v>
                </c:pt>
                <c:pt idx="4">
                  <c:v>1</c:v>
                </c:pt>
                <c:pt idx="5">
                  <c:v>3</c:v>
                </c:pt>
                <c:pt idx="6">
                  <c:v>1</c:v>
                </c:pt>
                <c:pt idx="7">
                  <c:v>2</c:v>
                </c:pt>
                <c:pt idx="8">
                  <c:v>1</c:v>
                </c:pt>
                <c:pt idx="9">
                  <c:v>2</c:v>
                </c:pt>
                <c:pt idx="10">
                  <c:v>1</c:v>
                </c:pt>
                <c:pt idx="11">
                  <c:v>2</c:v>
                </c:pt>
                <c:pt idx="12">
                  <c:v>3</c:v>
                </c:pt>
                <c:pt idx="13">
                  <c:v>4</c:v>
                </c:pt>
                <c:pt idx="14">
                  <c:v>2</c:v>
                </c:pt>
              </c:numCache>
            </c:numRef>
          </c:val>
          <c:smooth val="1"/>
          <c:extLst>
            <c:ext xmlns:c16="http://schemas.microsoft.com/office/drawing/2014/chart" uri="{C3380CC4-5D6E-409C-BE32-E72D297353CC}">
              <c16:uniqueId val="{00000002-B11D-46CC-8658-01730C146091}"/>
            </c:ext>
          </c:extLst>
        </c:ser>
        <c:ser>
          <c:idx val="3"/>
          <c:order val="3"/>
          <c:spPr>
            <a:ln w="47520">
              <a:solidFill>
                <a:srgbClr val="7D5FA0"/>
              </a:solidFill>
              <a:round/>
            </a:ln>
          </c:spPr>
          <c:marker>
            <c:symbol val="none"/>
          </c:marker>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47520">
                      <a:solidFill>
                        <a:srgbClr val="000000"/>
                      </a:solidFill>
                    </a:ln>
                  </c:spPr>
                </c15:leaderLines>
              </c:ext>
            </c:extLst>
          </c:dLbls>
          <c:cat>
            <c:numRef>
              <c:f>'Dashboard Data'!$O$2:$O$16</c:f>
              <c:numCache>
                <c:formatCode>d\-mmm</c:formatCode>
                <c:ptCount val="15"/>
                <c:pt idx="0">
                  <c:v>46077</c:v>
                </c:pt>
                <c:pt idx="1">
                  <c:v>46078</c:v>
                </c:pt>
                <c:pt idx="2">
                  <c:v>46079</c:v>
                </c:pt>
                <c:pt idx="3">
                  <c:v>46080</c:v>
                </c:pt>
                <c:pt idx="4">
                  <c:v>46081</c:v>
                </c:pt>
                <c:pt idx="5">
                  <c:v>46082</c:v>
                </c:pt>
                <c:pt idx="6">
                  <c:v>46083</c:v>
                </c:pt>
                <c:pt idx="7">
                  <c:v>46084</c:v>
                </c:pt>
                <c:pt idx="8">
                  <c:v>46085</c:v>
                </c:pt>
                <c:pt idx="9">
                  <c:v>46086</c:v>
                </c:pt>
                <c:pt idx="10">
                  <c:v>46087</c:v>
                </c:pt>
                <c:pt idx="11">
                  <c:v>46088</c:v>
                </c:pt>
                <c:pt idx="12">
                  <c:v>46089</c:v>
                </c:pt>
                <c:pt idx="13">
                  <c:v>46090</c:v>
                </c:pt>
                <c:pt idx="14">
                  <c:v>46091</c:v>
                </c:pt>
              </c:numCache>
            </c:numRef>
          </c:cat>
          <c:val>
            <c:numRef>
              <c:f>'Dashboard Data'!$S$2:$S$16</c:f>
              <c:numCache>
                <c:formatCode>General</c:formatCode>
                <c:ptCount val="15"/>
                <c:pt idx="0">
                  <c:v>1</c:v>
                </c:pt>
                <c:pt idx="1">
                  <c:v>1</c:v>
                </c:pt>
                <c:pt idx="2">
                  <c:v>1</c:v>
                </c:pt>
                <c:pt idx="3">
                  <c:v>1</c:v>
                </c:pt>
                <c:pt idx="4">
                  <c:v>1</c:v>
                </c:pt>
                <c:pt idx="5">
                  <c:v>1</c:v>
                </c:pt>
                <c:pt idx="6">
                  <c:v>2</c:v>
                </c:pt>
                <c:pt idx="7">
                  <c:v>0</c:v>
                </c:pt>
                <c:pt idx="8">
                  <c:v>1</c:v>
                </c:pt>
                <c:pt idx="9">
                  <c:v>0</c:v>
                </c:pt>
                <c:pt idx="10">
                  <c:v>1</c:v>
                </c:pt>
                <c:pt idx="11">
                  <c:v>2</c:v>
                </c:pt>
                <c:pt idx="12">
                  <c:v>2</c:v>
                </c:pt>
                <c:pt idx="13">
                  <c:v>2</c:v>
                </c:pt>
                <c:pt idx="14">
                  <c:v>1</c:v>
                </c:pt>
              </c:numCache>
            </c:numRef>
          </c:val>
          <c:smooth val="1"/>
          <c:extLst>
            <c:ext xmlns:c16="http://schemas.microsoft.com/office/drawing/2014/chart" uri="{C3380CC4-5D6E-409C-BE32-E72D297353CC}">
              <c16:uniqueId val="{00000003-B11D-46CC-8658-01730C146091}"/>
            </c:ext>
          </c:extLst>
        </c:ser>
        <c:dLbls>
          <c:showLegendKey val="0"/>
          <c:showVal val="0"/>
          <c:showCatName val="0"/>
          <c:showSerName val="0"/>
          <c:showPercent val="0"/>
          <c:showBubbleSize val="0"/>
        </c:dLbls>
        <c:hiLowLines>
          <c:spPr>
            <a:ln w="0">
              <a:noFill/>
            </a:ln>
          </c:spPr>
        </c:hiLowLines>
        <c:smooth val="0"/>
        <c:axId val="60197811"/>
        <c:axId val="54657035"/>
      </c:lineChart>
      <c:dateAx>
        <c:axId val="60197811"/>
        <c:scaling>
          <c:orientation val="minMax"/>
        </c:scaling>
        <c:delete val="0"/>
        <c:axPos val="b"/>
        <c:numFmt formatCode="d\-mmm"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54657035"/>
        <c:crosses val="autoZero"/>
        <c:auto val="1"/>
        <c:lblOffset val="100"/>
        <c:baseTimeUnit val="days"/>
      </c:dateAx>
      <c:valAx>
        <c:axId val="54657035"/>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Count</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60197811"/>
        <c:crosses val="autoZero"/>
        <c:crossBetween val="between"/>
      </c:valAx>
      <c:spPr>
        <a:no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Tester activity</a:t>
            </a:r>
          </a:p>
        </c:rich>
      </c:tx>
      <c:overlay val="0"/>
      <c:spPr>
        <a:noFill/>
        <a:ln w="0">
          <a:noFill/>
        </a:ln>
      </c:spPr>
    </c:title>
    <c:autoTitleDeleted val="0"/>
    <c:plotArea>
      <c:layout/>
      <c:barChart>
        <c:barDir val="bar"/>
        <c:grouping val="clustered"/>
        <c:varyColors val="0"/>
        <c:ser>
          <c:idx val="0"/>
          <c:order val="0"/>
          <c:tx>
            <c:strRef>
              <c:f>'Dashboard Data'!$V$1</c:f>
              <c:strCache>
                <c:ptCount val="1"/>
                <c:pt idx="0">
                  <c:v>Executions</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Data'!$U$2:$U$18</c:f>
              <c:strCache>
                <c:ptCount val="17"/>
                <c:pt idx="0">
                  <c:v>Aisha Khan</c:v>
                </c:pt>
                <c:pt idx="1">
                  <c:v>Ben Carter</c:v>
                </c:pt>
                <c:pt idx="2">
                  <c:v>Chloe Morgan</c:v>
                </c:pt>
                <c:pt idx="3">
                  <c:v>Daniel Hughes</c:v>
                </c:pt>
                <c:pt idx="4">
                  <c:v>Emily Foster</c:v>
                </c:pt>
                <c:pt idx="5">
                  <c:v>Farah Malik</c:v>
                </c:pt>
                <c:pt idx="6">
                  <c:v>Gareth Evans</c:v>
                </c:pt>
                <c:pt idx="7">
                  <c:v>Hannah Price</c:v>
                </c:pt>
                <c:pt idx="8">
                  <c:v>Jessica Reed</c:v>
                </c:pt>
                <c:pt idx="9">
                  <c:v>Karl Bennett</c:v>
                </c:pt>
                <c:pt idx="10">
                  <c:v>Laura Green</c:v>
                </c:pt>
                <c:pt idx="11">
                  <c:v>Marcus Hall</c:v>
                </c:pt>
                <c:pt idx="12">
                  <c:v>Nadia Shah</c:v>
                </c:pt>
                <c:pt idx="13">
                  <c:v>Owen Turner</c:v>
                </c:pt>
                <c:pt idx="14">
                  <c:v>Priya Singh</c:v>
                </c:pt>
                <c:pt idx="15">
                  <c:v>Quentin Ross</c:v>
                </c:pt>
                <c:pt idx="16">
                  <c:v>Ruth Adams</c:v>
                </c:pt>
              </c:strCache>
            </c:strRef>
          </c:cat>
          <c:val>
            <c:numRef>
              <c:f>'Dashboard Data'!$V$2:$V$18</c:f>
              <c:numCache>
                <c:formatCode>General</c:formatCode>
                <c:ptCount val="17"/>
                <c:pt idx="0">
                  <c:v>5</c:v>
                </c:pt>
                <c:pt idx="1">
                  <c:v>5</c:v>
                </c:pt>
                <c:pt idx="2">
                  <c:v>14</c:v>
                </c:pt>
                <c:pt idx="3">
                  <c:v>6</c:v>
                </c:pt>
                <c:pt idx="4">
                  <c:v>0</c:v>
                </c:pt>
                <c:pt idx="5">
                  <c:v>7</c:v>
                </c:pt>
                <c:pt idx="6">
                  <c:v>13</c:v>
                </c:pt>
                <c:pt idx="7">
                  <c:v>15</c:v>
                </c:pt>
                <c:pt idx="8">
                  <c:v>0</c:v>
                </c:pt>
                <c:pt idx="9">
                  <c:v>23</c:v>
                </c:pt>
                <c:pt idx="10">
                  <c:v>11</c:v>
                </c:pt>
                <c:pt idx="11">
                  <c:v>12</c:v>
                </c:pt>
                <c:pt idx="12">
                  <c:v>0</c:v>
                </c:pt>
                <c:pt idx="13">
                  <c:v>5</c:v>
                </c:pt>
                <c:pt idx="14">
                  <c:v>20</c:v>
                </c:pt>
                <c:pt idx="15">
                  <c:v>10</c:v>
                </c:pt>
                <c:pt idx="16">
                  <c:v>4</c:v>
                </c:pt>
              </c:numCache>
            </c:numRef>
          </c:val>
          <c:extLst>
            <c:ext xmlns:c16="http://schemas.microsoft.com/office/drawing/2014/chart" uri="{C3380CC4-5D6E-409C-BE32-E72D297353CC}">
              <c16:uniqueId val="{00000000-D3C0-47A1-9DB2-5BB054933645}"/>
            </c:ext>
          </c:extLst>
        </c:ser>
        <c:dLbls>
          <c:showLegendKey val="0"/>
          <c:showVal val="0"/>
          <c:showCatName val="0"/>
          <c:showSerName val="0"/>
          <c:showPercent val="0"/>
          <c:showBubbleSize val="0"/>
        </c:dLbls>
        <c:gapWidth val="150"/>
        <c:axId val="86807929"/>
        <c:axId val="76074111"/>
      </c:barChart>
      <c:catAx>
        <c:axId val="86807929"/>
        <c:scaling>
          <c:orientation val="minMax"/>
        </c:scaling>
        <c:delete val="0"/>
        <c:axPos val="l"/>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76074111"/>
        <c:crosses val="autoZero"/>
        <c:auto val="1"/>
        <c:lblAlgn val="ctr"/>
        <c:lblOffset val="100"/>
        <c:noMultiLvlLbl val="0"/>
      </c:catAx>
      <c:valAx>
        <c:axId val="76074111"/>
        <c:scaling>
          <c:orientation val="minMax"/>
        </c:scaling>
        <c:delete val="0"/>
        <c:axPos val="b"/>
        <c:majorGridlines>
          <c:spPr>
            <a:ln w="9360">
              <a:solidFill>
                <a:srgbClr val="878787"/>
              </a:solidFill>
              <a:round/>
            </a:ln>
          </c:spPr>
        </c:majorGridlines>
        <c:title>
          <c:tx>
            <c:rich>
              <a:bodyPr rot="0"/>
              <a:lstStyle/>
              <a:p>
                <a:pPr>
                  <a:defRPr sz="1300" b="0" u="none" strike="noStrike">
                    <a:uFillTx/>
                    <a:latin typeface="Arial"/>
                  </a:defRPr>
                </a:pPr>
                <a:r>
                  <a:rPr lang="en-GB" sz="1000" b="1" u="none" strike="noStrike">
                    <a:solidFill>
                      <a:srgbClr val="000000"/>
                    </a:solidFill>
                    <a:uFillTx/>
                    <a:latin typeface="Calibri"/>
                  </a:rPr>
                  <a:t>Executions</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86807929"/>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Execution volume by business area</a:t>
            </a:r>
          </a:p>
        </c:rich>
      </c:tx>
      <c:overlay val="0"/>
      <c:spPr>
        <a:noFill/>
        <a:ln w="0">
          <a:noFill/>
        </a:ln>
      </c:spPr>
    </c:title>
    <c:autoTitleDeleted val="0"/>
    <c:plotArea>
      <c:layout/>
      <c:barChart>
        <c:barDir val="col"/>
        <c:grouping val="clustered"/>
        <c:varyColors val="0"/>
        <c:ser>
          <c:idx val="0"/>
          <c:order val="0"/>
          <c:tx>
            <c:strRef>
              <c:f>'Dashboard Data'!$AI$1</c:f>
              <c:strCache>
                <c:ptCount val="1"/>
                <c:pt idx="0">
                  <c:v>Executions</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Data'!$AH$2:$AH$6</c:f>
              <c:strCache>
                <c:ptCount val="5"/>
                <c:pt idx="0">
                  <c:v>Contact Centre</c:v>
                </c:pt>
                <c:pt idx="1">
                  <c:v>Case Management</c:v>
                </c:pt>
                <c:pt idx="2">
                  <c:v>Field Operations</c:v>
                </c:pt>
                <c:pt idx="3">
                  <c:v>Finance &amp; Billing</c:v>
                </c:pt>
                <c:pt idx="4">
                  <c:v>Reporting &amp; MI</c:v>
                </c:pt>
              </c:strCache>
            </c:strRef>
          </c:cat>
          <c:val>
            <c:numRef>
              <c:f>'Dashboard Data'!$AI$2:$AI$6</c:f>
              <c:numCache>
                <c:formatCode>General</c:formatCode>
                <c:ptCount val="5"/>
                <c:pt idx="0">
                  <c:v>35</c:v>
                </c:pt>
                <c:pt idx="1">
                  <c:v>22</c:v>
                </c:pt>
                <c:pt idx="2">
                  <c:v>38</c:v>
                </c:pt>
                <c:pt idx="3">
                  <c:v>29</c:v>
                </c:pt>
                <c:pt idx="4">
                  <c:v>26</c:v>
                </c:pt>
              </c:numCache>
            </c:numRef>
          </c:val>
          <c:extLst>
            <c:ext xmlns:c16="http://schemas.microsoft.com/office/drawing/2014/chart" uri="{C3380CC4-5D6E-409C-BE32-E72D297353CC}">
              <c16:uniqueId val="{00000000-4DB0-4230-8A39-76576B907243}"/>
            </c:ext>
          </c:extLst>
        </c:ser>
        <c:dLbls>
          <c:showLegendKey val="0"/>
          <c:showVal val="0"/>
          <c:showCatName val="0"/>
          <c:showSerName val="0"/>
          <c:showPercent val="0"/>
          <c:showBubbleSize val="0"/>
        </c:dLbls>
        <c:gapWidth val="150"/>
        <c:axId val="93174661"/>
        <c:axId val="533527"/>
      </c:barChart>
      <c:catAx>
        <c:axId val="93174661"/>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533527"/>
        <c:crosses val="autoZero"/>
        <c:auto val="1"/>
        <c:lblAlgn val="ctr"/>
        <c:lblOffset val="100"/>
        <c:noMultiLvlLbl val="0"/>
      </c:catAx>
      <c:valAx>
        <c:axId val="533527"/>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Executions</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93174661"/>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Blocked executions by business area</a:t>
            </a:r>
          </a:p>
        </c:rich>
      </c:tx>
      <c:overlay val="0"/>
      <c:spPr>
        <a:noFill/>
        <a:ln w="0">
          <a:noFill/>
        </a:ln>
      </c:spPr>
    </c:title>
    <c:autoTitleDeleted val="0"/>
    <c:plotArea>
      <c:layout/>
      <c:barChart>
        <c:barDir val="col"/>
        <c:grouping val="clustered"/>
        <c:varyColors val="0"/>
        <c:ser>
          <c:idx val="0"/>
          <c:order val="0"/>
          <c:tx>
            <c:strRef>
              <c:f>'Dashboard Data'!$AJ$1</c:f>
              <c:strCache>
                <c:ptCount val="1"/>
                <c:pt idx="0">
                  <c:v>Blocked</c:v>
                </c:pt>
              </c:strCache>
            </c:strRef>
          </c:tx>
          <c:spPr>
            <a:solidFill>
              <a:srgbClr val="4F81BD"/>
            </a:solidFill>
            <a:ln w="9360">
              <a:solidFill>
                <a:srgbClr val="F9F9F9"/>
              </a:solidFill>
              <a:round/>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a:solidFill>
                        <a:srgbClr val="F9F9F9"/>
                      </a:solidFill>
                    </a:ln>
                  </c:spPr>
                </c15:leaderLines>
              </c:ext>
            </c:extLst>
          </c:dLbls>
          <c:cat>
            <c:strRef>
              <c:f>'Dashboard Data'!$AH$2:$AH$6</c:f>
              <c:strCache>
                <c:ptCount val="5"/>
                <c:pt idx="0">
                  <c:v>Contact Centre</c:v>
                </c:pt>
                <c:pt idx="1">
                  <c:v>Case Management</c:v>
                </c:pt>
                <c:pt idx="2">
                  <c:v>Field Operations</c:v>
                </c:pt>
                <c:pt idx="3">
                  <c:v>Finance &amp; Billing</c:v>
                </c:pt>
                <c:pt idx="4">
                  <c:v>Reporting &amp; MI</c:v>
                </c:pt>
              </c:strCache>
            </c:strRef>
          </c:cat>
          <c:val>
            <c:numRef>
              <c:f>'Dashboard Data'!$AJ$2:$AJ$6</c:f>
              <c:numCache>
                <c:formatCode>General</c:formatCode>
                <c:ptCount val="5"/>
                <c:pt idx="0">
                  <c:v>5</c:v>
                </c:pt>
                <c:pt idx="1">
                  <c:v>0</c:v>
                </c:pt>
                <c:pt idx="2">
                  <c:v>6</c:v>
                </c:pt>
                <c:pt idx="3">
                  <c:v>1</c:v>
                </c:pt>
                <c:pt idx="4">
                  <c:v>5</c:v>
                </c:pt>
              </c:numCache>
            </c:numRef>
          </c:val>
          <c:extLst>
            <c:ext xmlns:c16="http://schemas.microsoft.com/office/drawing/2014/chart" uri="{C3380CC4-5D6E-409C-BE32-E72D297353CC}">
              <c16:uniqueId val="{00000000-543B-4F67-A0E5-EB909AF02F05}"/>
            </c:ext>
          </c:extLst>
        </c:ser>
        <c:dLbls>
          <c:showLegendKey val="0"/>
          <c:showVal val="0"/>
          <c:showCatName val="0"/>
          <c:showSerName val="0"/>
          <c:showPercent val="0"/>
          <c:showBubbleSize val="0"/>
        </c:dLbls>
        <c:gapWidth val="150"/>
        <c:axId val="31566890"/>
        <c:axId val="14577201"/>
      </c:barChart>
      <c:catAx>
        <c:axId val="31566890"/>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14577201"/>
        <c:crosses val="autoZero"/>
        <c:auto val="1"/>
        <c:lblAlgn val="ctr"/>
        <c:lblOffset val="100"/>
        <c:noMultiLvlLbl val="0"/>
      </c:catAx>
      <c:valAx>
        <c:axId val="14577201"/>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en-GB" sz="1000" b="1" u="none" strike="noStrike">
                    <a:solidFill>
                      <a:srgbClr val="000000"/>
                    </a:solidFill>
                    <a:uFillTx/>
                    <a:latin typeface="Calibri"/>
                  </a:rPr>
                  <a:t>Blocked</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31566890"/>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Defect severity mix (all defects)</a:t>
            </a:r>
          </a:p>
        </c:rich>
      </c:tx>
      <c:overlay val="0"/>
      <c:spPr>
        <a:noFill/>
        <a:ln w="0">
          <a:noFill/>
        </a:ln>
      </c:spPr>
    </c:title>
    <c:autoTitleDeleted val="0"/>
    <c:plotArea>
      <c:layout/>
      <c:doughnutChart>
        <c:varyColors val="1"/>
        <c:ser>
          <c:idx val="0"/>
          <c:order val="0"/>
          <c:tx>
            <c:strRef>
              <c:f>'Dashboard Data'!$I$1</c:f>
              <c:strCache>
                <c:ptCount val="1"/>
                <c:pt idx="0">
                  <c:v>Total Defects</c:v>
                </c:pt>
              </c:strCache>
            </c:strRef>
          </c:tx>
          <c:spPr>
            <a:solidFill>
              <a:srgbClr val="4F81BD"/>
            </a:solidFill>
            <a:ln w="9360">
              <a:solidFill>
                <a:srgbClr val="F9F9F9"/>
              </a:solidFill>
              <a:round/>
            </a:ln>
          </c:spPr>
          <c:dPt>
            <c:idx val="0"/>
            <c:bubble3D val="0"/>
            <c:extLst>
              <c:ext xmlns:c16="http://schemas.microsoft.com/office/drawing/2014/chart" uri="{C3380CC4-5D6E-409C-BE32-E72D297353CC}">
                <c16:uniqueId val="{00000001-3C09-40A7-9784-E9F4004A1167}"/>
              </c:ext>
            </c:extLst>
          </c:dPt>
          <c:dPt>
            <c:idx val="1"/>
            <c:bubble3D val="0"/>
            <c:spPr>
              <a:solidFill>
                <a:srgbClr val="C0504D"/>
              </a:solidFill>
              <a:ln w="9360">
                <a:solidFill>
                  <a:srgbClr val="F9F9F9"/>
                </a:solidFill>
                <a:round/>
              </a:ln>
            </c:spPr>
            <c:extLst>
              <c:ext xmlns:c16="http://schemas.microsoft.com/office/drawing/2014/chart" uri="{C3380CC4-5D6E-409C-BE32-E72D297353CC}">
                <c16:uniqueId val="{00000003-3C09-40A7-9784-E9F4004A1167}"/>
              </c:ext>
            </c:extLst>
          </c:dPt>
          <c:dPt>
            <c:idx val="2"/>
            <c:bubble3D val="0"/>
            <c:spPr>
              <a:solidFill>
                <a:srgbClr val="9BBB59"/>
              </a:solidFill>
              <a:ln w="9360">
                <a:solidFill>
                  <a:srgbClr val="F9F9F9"/>
                </a:solidFill>
                <a:round/>
              </a:ln>
            </c:spPr>
            <c:extLst>
              <c:ext xmlns:c16="http://schemas.microsoft.com/office/drawing/2014/chart" uri="{C3380CC4-5D6E-409C-BE32-E72D297353CC}">
                <c16:uniqueId val="{00000005-3C09-40A7-9784-E9F4004A1167}"/>
              </c:ext>
            </c:extLst>
          </c:dPt>
          <c:dPt>
            <c:idx val="3"/>
            <c:bubble3D val="0"/>
            <c:spPr>
              <a:solidFill>
                <a:srgbClr val="8064A2"/>
              </a:solidFill>
              <a:ln w="9360">
                <a:solidFill>
                  <a:srgbClr val="F9F9F9"/>
                </a:solidFill>
                <a:round/>
              </a:ln>
            </c:spPr>
            <c:extLst>
              <c:ext xmlns:c16="http://schemas.microsoft.com/office/drawing/2014/chart" uri="{C3380CC4-5D6E-409C-BE32-E72D297353CC}">
                <c16:uniqueId val="{00000007-3C09-40A7-9784-E9F4004A1167}"/>
              </c:ext>
            </c:extLst>
          </c:dPt>
          <c:dLbls>
            <c:dLbl>
              <c:idx val="0"/>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1-3C09-40A7-9784-E9F4004A1167}"/>
                </c:ext>
              </c:extLst>
            </c:dLbl>
            <c:dLbl>
              <c:idx val="1"/>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3-3C09-40A7-9784-E9F4004A1167}"/>
                </c:ext>
              </c:extLst>
            </c:dLbl>
            <c:dLbl>
              <c:idx val="2"/>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5-3C09-40A7-9784-E9F4004A1167}"/>
                </c:ext>
              </c:extLst>
            </c:dLbl>
            <c:dLbl>
              <c:idx val="3"/>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extLst>
                <c:ext xmlns:c16="http://schemas.microsoft.com/office/drawing/2014/chart" uri="{C3380CC4-5D6E-409C-BE32-E72D297353CC}">
                  <c16:uniqueId val="{00000007-3C09-40A7-9784-E9F4004A1167}"/>
                </c:ext>
              </c:extLst>
            </c:dLbl>
            <c:spPr>
              <a:noFill/>
              <a:ln>
                <a:noFill/>
              </a:ln>
              <a:effectLst/>
            </c:spPr>
            <c:txPr>
              <a:bodyPr wrap="square"/>
              <a:lstStyle/>
              <a:p>
                <a:pPr>
                  <a:defRPr sz="1000" b="0" u="none" strike="noStrike">
                    <a:solidFill>
                      <a:srgbClr val="000000"/>
                    </a:solidFill>
                    <a:uFillTx/>
                    <a:latin typeface="Calibri"/>
                  </a:defRPr>
                </a:pPr>
                <a:endParaRPr lang="en-US"/>
              </a:p>
            </c:txPr>
            <c:showLegendKey val="1"/>
            <c:showVal val="1"/>
            <c:showCatName val="1"/>
            <c:showSerName val="1"/>
            <c:showPercent val="1"/>
            <c:showBubbleSize val="1"/>
            <c:separator>; </c:separator>
            <c:showLeaderLines val="1"/>
            <c:leaderLines>
              <c:spPr>
                <a:ln>
                  <a:solidFill>
                    <a:srgbClr val="F9F9F9"/>
                  </a:solidFill>
                </a:ln>
              </c:spPr>
            </c:leaderLines>
            <c:extLst>
              <c:ext xmlns:c15="http://schemas.microsoft.com/office/drawing/2012/chart" uri="{CE6537A1-D6FC-4f65-9D91-7224C49458BB}"/>
            </c:extLst>
          </c:dLbls>
          <c:cat>
            <c:strRef>
              <c:f>'Dashboard Data'!$H$2:$H$5</c:f>
              <c:strCache>
                <c:ptCount val="4"/>
                <c:pt idx="0">
                  <c:v>S1 - Critical</c:v>
                </c:pt>
                <c:pt idx="1">
                  <c:v>S2 - High</c:v>
                </c:pt>
                <c:pt idx="2">
                  <c:v>S3 - Medium</c:v>
                </c:pt>
                <c:pt idx="3">
                  <c:v>S4 - Low</c:v>
                </c:pt>
              </c:strCache>
            </c:strRef>
          </c:cat>
          <c:val>
            <c:numRef>
              <c:f>'Dashboard Data'!$I$2:$I$5</c:f>
              <c:numCache>
                <c:formatCode>General</c:formatCode>
                <c:ptCount val="4"/>
                <c:pt idx="0">
                  <c:v>5</c:v>
                </c:pt>
                <c:pt idx="1">
                  <c:v>9</c:v>
                </c:pt>
                <c:pt idx="2">
                  <c:v>12</c:v>
                </c:pt>
                <c:pt idx="3">
                  <c:v>9</c:v>
                </c:pt>
              </c:numCache>
            </c:numRef>
          </c:val>
          <c:extLst>
            <c:ext xmlns:c16="http://schemas.microsoft.com/office/drawing/2014/chart" uri="{C3380CC4-5D6E-409C-BE32-E72D297353CC}">
              <c16:uniqueId val="{00000008-3C09-40A7-9784-E9F4004A1167}"/>
            </c:ext>
          </c:extLst>
        </c:ser>
        <c:dLbls>
          <c:showLegendKey val="0"/>
          <c:showVal val="0"/>
          <c:showCatName val="0"/>
          <c:showSerName val="0"/>
          <c:showPercent val="0"/>
          <c:showBubbleSize val="0"/>
          <c:showLeaderLines val="1"/>
        </c:dLbls>
        <c:firstSliceAng val="0"/>
        <c:holeSize val="50"/>
      </c:doughnutChart>
      <c:spPr>
        <a:no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114300</xdr:rowOff>
    </xdr:from>
    <xdr:to>
      <xdr:col>5</xdr:col>
      <xdr:colOff>228600</xdr:colOff>
      <xdr:row>30</xdr:row>
      <xdr:rowOff>64080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18</xdr:row>
      <xdr:rowOff>38100</xdr:rowOff>
    </xdr:from>
    <xdr:to>
      <xdr:col>12</xdr:col>
      <xdr:colOff>419100</xdr:colOff>
      <xdr:row>32</xdr:row>
      <xdr:rowOff>133350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31</xdr:row>
      <xdr:rowOff>142875</xdr:rowOff>
    </xdr:from>
    <xdr:to>
      <xdr:col>5</xdr:col>
      <xdr:colOff>762000</xdr:colOff>
      <xdr:row>49</xdr:row>
      <xdr:rowOff>142875</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1066799</xdr:colOff>
      <xdr:row>31</xdr:row>
      <xdr:rowOff>0</xdr:rowOff>
    </xdr:from>
    <xdr:to>
      <xdr:col>12</xdr:col>
      <xdr:colOff>885824</xdr:colOff>
      <xdr:row>49</xdr:row>
      <xdr:rowOff>152400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114300</xdr:rowOff>
    </xdr:from>
    <xdr:to>
      <xdr:col>4</xdr:col>
      <xdr:colOff>514350</xdr:colOff>
      <xdr:row>30</xdr:row>
      <xdr:rowOff>64080</xdr:rowOff>
    </xdr:to>
    <xdr:graphicFrame macro="">
      <xdr:nvGraphicFramePr>
        <xdr:cNvPr id="4" name="Chart 1">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180975</xdr:colOff>
      <xdr:row>16</xdr:row>
      <xdr:rowOff>66675</xdr:rowOff>
    </xdr:from>
    <xdr:to>
      <xdr:col>10</xdr:col>
      <xdr:colOff>371475</xdr:colOff>
      <xdr:row>32</xdr:row>
      <xdr:rowOff>43200</xdr:rowOff>
    </xdr:to>
    <xdr:graphicFrame macro="">
      <xdr:nvGraphicFramePr>
        <xdr:cNvPr id="5" name="Chart 2">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32</xdr:row>
      <xdr:rowOff>76200</xdr:rowOff>
    </xdr:from>
    <xdr:to>
      <xdr:col>4</xdr:col>
      <xdr:colOff>457200</xdr:colOff>
      <xdr:row>46</xdr:row>
      <xdr:rowOff>64080</xdr:rowOff>
    </xdr:to>
    <xdr:graphicFrame macro="">
      <xdr:nvGraphicFramePr>
        <xdr:cNvPr id="6" name="Chart 3">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266699</xdr:colOff>
      <xdr:row>32</xdr:row>
      <xdr:rowOff>28575</xdr:rowOff>
    </xdr:from>
    <xdr:to>
      <xdr:col>10</xdr:col>
      <xdr:colOff>409574</xdr:colOff>
      <xdr:row>47</xdr:row>
      <xdr:rowOff>45030</xdr:rowOff>
    </xdr:to>
    <xdr:graphicFrame macro="">
      <xdr:nvGraphicFramePr>
        <xdr:cNvPr id="7" name="Chart 4">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161925</xdr:rowOff>
    </xdr:from>
    <xdr:to>
      <xdr:col>4</xdr:col>
      <xdr:colOff>990600</xdr:colOff>
      <xdr:row>33</xdr:row>
      <xdr:rowOff>171450</xdr:rowOff>
    </xdr:to>
    <xdr:graphicFrame macro="">
      <xdr:nvGraphicFramePr>
        <xdr:cNvPr id="8" name="Chart 1">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361949</xdr:colOff>
      <xdr:row>16</xdr:row>
      <xdr:rowOff>133349</xdr:rowOff>
    </xdr:from>
    <xdr:to>
      <xdr:col>10</xdr:col>
      <xdr:colOff>542924</xdr:colOff>
      <xdr:row>33</xdr:row>
      <xdr:rowOff>104774</xdr:rowOff>
    </xdr:to>
    <xdr:graphicFrame macro="">
      <xdr:nvGraphicFramePr>
        <xdr:cNvPr id="9" name="Chart 2">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35</xdr:row>
      <xdr:rowOff>0</xdr:rowOff>
    </xdr:from>
    <xdr:to>
      <xdr:col>4</xdr:col>
      <xdr:colOff>885824</xdr:colOff>
      <xdr:row>49</xdr:row>
      <xdr:rowOff>171450</xdr:rowOff>
    </xdr:to>
    <xdr:graphicFrame macro="">
      <xdr:nvGraphicFramePr>
        <xdr:cNvPr id="10" name="Chart 3">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581025</xdr:colOff>
      <xdr:row>34</xdr:row>
      <xdr:rowOff>76200</xdr:rowOff>
    </xdr:from>
    <xdr:to>
      <xdr:col>10</xdr:col>
      <xdr:colOff>514350</xdr:colOff>
      <xdr:row>48</xdr:row>
      <xdr:rowOff>171450</xdr:rowOff>
    </xdr:to>
    <xdr:graphicFrame macro="">
      <xdr:nvGraphicFramePr>
        <xdr:cNvPr id="11" name="Chart 4">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4</xdr:col>
      <xdr:colOff>333374</xdr:colOff>
      <xdr:row>33</xdr:row>
      <xdr:rowOff>133350</xdr:rowOff>
    </xdr:to>
    <xdr:graphicFrame macro="">
      <xdr:nvGraphicFramePr>
        <xdr:cNvPr id="12" name="Chart 1">
          <a:extLst>
            <a:ext uri="{FF2B5EF4-FFF2-40B4-BE49-F238E27FC236}">
              <a16:creationId xmlns:a16="http://schemas.microsoft.com/office/drawing/2014/main" id="{00000000-0008-0000-07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219075</xdr:colOff>
      <xdr:row>18</xdr:row>
      <xdr:rowOff>76200</xdr:rowOff>
    </xdr:from>
    <xdr:to>
      <xdr:col>9</xdr:col>
      <xdr:colOff>715290</xdr:colOff>
      <xdr:row>32</xdr:row>
      <xdr:rowOff>38100</xdr:rowOff>
    </xdr:to>
    <xdr:graphicFrame macro="">
      <xdr:nvGraphicFramePr>
        <xdr:cNvPr id="13" name="Chart 2">
          <a:extLst>
            <a:ext uri="{FF2B5EF4-FFF2-40B4-BE49-F238E27FC236}">
              <a16:creationId xmlns:a16="http://schemas.microsoft.com/office/drawing/2014/main" id="{00000000-0008-0000-07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34</xdr:row>
      <xdr:rowOff>190499</xdr:rowOff>
    </xdr:from>
    <xdr:to>
      <xdr:col>4</xdr:col>
      <xdr:colOff>381000</xdr:colOff>
      <xdr:row>48</xdr:row>
      <xdr:rowOff>66674</xdr:rowOff>
    </xdr:to>
    <xdr:graphicFrame macro="">
      <xdr:nvGraphicFramePr>
        <xdr:cNvPr id="14" name="Chart 3">
          <a:extLst>
            <a:ext uri="{FF2B5EF4-FFF2-40B4-BE49-F238E27FC236}">
              <a16:creationId xmlns:a16="http://schemas.microsoft.com/office/drawing/2014/main" id="{00000000-0008-0000-07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333375</xdr:colOff>
      <xdr:row>33</xdr:row>
      <xdr:rowOff>114300</xdr:rowOff>
    </xdr:from>
    <xdr:to>
      <xdr:col>9</xdr:col>
      <xdr:colOff>696240</xdr:colOff>
      <xdr:row>46</xdr:row>
      <xdr:rowOff>64080</xdr:rowOff>
    </xdr:to>
    <xdr:graphicFrame macro="">
      <xdr:nvGraphicFramePr>
        <xdr:cNvPr id="15" name="Chart 4">
          <a:extLst>
            <a:ext uri="{FF2B5EF4-FFF2-40B4-BE49-F238E27FC236}">
              <a16:creationId xmlns:a16="http://schemas.microsoft.com/office/drawing/2014/main" id="{00000000-0008-0000-07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White_Label_UAT_Delivery_Command_Pack.xlsx" TargetMode="External"/><Relationship Id="rId13" Type="http://schemas.openxmlformats.org/officeDocument/2006/relationships/hyperlink" Target="../White_Label_UAT_Delivery_Command_Pack.xlsx" TargetMode="External"/><Relationship Id="rId18" Type="http://schemas.openxmlformats.org/officeDocument/2006/relationships/hyperlink" Target="../White_Label_UAT_Delivery_Command_Pack.xlsx" TargetMode="External"/><Relationship Id="rId3" Type="http://schemas.openxmlformats.org/officeDocument/2006/relationships/hyperlink" Target="../White_Label_UAT_Delivery_Command_Pack.xlsx" TargetMode="External"/><Relationship Id="rId21" Type="http://schemas.openxmlformats.org/officeDocument/2006/relationships/hyperlink" Target="../White_Label_UAT_Delivery_Command_Pack.xlsx" TargetMode="External"/><Relationship Id="rId7" Type="http://schemas.openxmlformats.org/officeDocument/2006/relationships/hyperlink" Target="../White_Label_UAT_Delivery_Command_Pack.xlsx" TargetMode="External"/><Relationship Id="rId12" Type="http://schemas.openxmlformats.org/officeDocument/2006/relationships/hyperlink" Target="../White_Label_UAT_Delivery_Command_Pack.xlsx" TargetMode="External"/><Relationship Id="rId17"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6" Type="http://schemas.openxmlformats.org/officeDocument/2006/relationships/hyperlink" Target="../White_Label_UAT_Delivery_Command_Pack.xlsx" TargetMode="External"/><Relationship Id="rId20"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6" Type="http://schemas.openxmlformats.org/officeDocument/2006/relationships/hyperlink" Target="../White_Label_UAT_Delivery_Command_Pack.xlsx" TargetMode="External"/><Relationship Id="rId11" Type="http://schemas.openxmlformats.org/officeDocument/2006/relationships/hyperlink" Target="../White_Label_UAT_Delivery_Command_Pack.xlsx" TargetMode="External"/><Relationship Id="rId24"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15" Type="http://schemas.openxmlformats.org/officeDocument/2006/relationships/hyperlink" Target="../White_Label_UAT_Delivery_Command_Pack.xlsx" TargetMode="External"/><Relationship Id="rId23" Type="http://schemas.openxmlformats.org/officeDocument/2006/relationships/hyperlink" Target="../White_Label_UAT_Delivery_Command_Pack.xlsx" TargetMode="External"/><Relationship Id="rId10" Type="http://schemas.openxmlformats.org/officeDocument/2006/relationships/hyperlink" Target="../White_Label_UAT_Delivery_Command_Pack.xlsx" TargetMode="External"/><Relationship Id="rId19"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 Id="rId9" Type="http://schemas.openxmlformats.org/officeDocument/2006/relationships/hyperlink" Target="../White_Label_UAT_Delivery_Command_Pack.xlsx" TargetMode="External"/><Relationship Id="rId14" Type="http://schemas.openxmlformats.org/officeDocument/2006/relationships/hyperlink" Target="../White_Label_UAT_Delivery_Command_Pack.xlsx" TargetMode="External"/><Relationship Id="rId22" Type="http://schemas.openxmlformats.org/officeDocument/2006/relationships/hyperlink" Target="../White_Label_UAT_Delivery_Command_Pack.xlsx"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6" Type="http://schemas.openxmlformats.org/officeDocument/2006/relationships/drawing" Target="../drawings/drawing1.xm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6" Type="http://schemas.openxmlformats.org/officeDocument/2006/relationships/drawing" Target="../drawings/drawing2.xm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6" Type="http://schemas.openxmlformats.org/officeDocument/2006/relationships/drawing" Target="../drawings/drawing3.xm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6" Type="http://schemas.openxmlformats.org/officeDocument/2006/relationships/drawing" Target="../drawings/drawing4.xm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White_Label_UAT_Delivery_Command_Pack.xlsx" TargetMode="External"/><Relationship Id="rId2" Type="http://schemas.openxmlformats.org/officeDocument/2006/relationships/hyperlink" Target="../White_Label_UAT_Delivery_Command_Pack.xlsx" TargetMode="External"/><Relationship Id="rId1" Type="http://schemas.openxmlformats.org/officeDocument/2006/relationships/hyperlink" Target="../White_Label_UAT_Delivery_Command_Pack.xlsx" TargetMode="External"/><Relationship Id="rId5" Type="http://schemas.openxmlformats.org/officeDocument/2006/relationships/hyperlink" Target="../White_Label_UAT_Delivery_Command_Pack.xlsx" TargetMode="External"/><Relationship Id="rId4" Type="http://schemas.openxmlformats.org/officeDocument/2006/relationships/hyperlink" Target="../White_Label_UAT_Delivery_Command_Pack.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showGridLines="0" tabSelected="1" zoomScaleNormal="100" workbookViewId="0">
      <pane ySplit="7" topLeftCell="A8" activePane="bottomLeft" state="frozen"/>
      <selection pane="bottomLeft" sqref="A1:L1"/>
    </sheetView>
  </sheetViews>
  <sheetFormatPr defaultColWidth="8.7109375" defaultRowHeight="15" customHeight="1" x14ac:dyDescent="0.25"/>
  <cols>
    <col min="1" max="4" width="24" customWidth="1"/>
    <col min="5" max="12" width="18" customWidth="1"/>
  </cols>
  <sheetData>
    <row r="1" spans="1:12" ht="25.5" customHeight="1" x14ac:dyDescent="0.25">
      <c r="A1" s="12" t="str">
        <f>'Branding &amp; Setup'!$B$9 &amp; " | UAT Delivery Command Workbook"</f>
        <v>Northbridge Citizens Services | UAT Delivery Command Workbook</v>
      </c>
      <c r="B1" s="12"/>
      <c r="C1" s="12"/>
      <c r="D1" s="12"/>
      <c r="E1" s="12"/>
      <c r="F1" s="12"/>
      <c r="G1" s="12"/>
      <c r="H1" s="12"/>
      <c r="I1" s="12"/>
      <c r="J1" s="12"/>
      <c r="K1" s="12"/>
      <c r="L1" s="12"/>
    </row>
    <row r="2" spans="1:12"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row>
    <row r="3" spans="1:12" ht="18" customHeight="1" x14ac:dyDescent="0.25">
      <c r="A3" s="13" t="s">
        <v>0</v>
      </c>
      <c r="B3" s="13" t="s">
        <v>1</v>
      </c>
      <c r="C3" s="13" t="s">
        <v>2</v>
      </c>
      <c r="D3" s="13" t="s">
        <v>3</v>
      </c>
      <c r="E3" s="13" t="s">
        <v>4</v>
      </c>
    </row>
    <row r="4" spans="1:12" ht="18" customHeight="1" x14ac:dyDescent="0.25">
      <c r="A4" s="10" t="s">
        <v>5</v>
      </c>
      <c r="B4" s="10"/>
      <c r="C4" s="10"/>
      <c r="D4" s="10"/>
      <c r="E4" s="10"/>
      <c r="F4" s="10"/>
      <c r="G4" s="10"/>
      <c r="H4" s="10"/>
      <c r="I4" s="10"/>
      <c r="J4" s="10"/>
      <c r="K4" s="10"/>
      <c r="L4" s="10"/>
    </row>
    <row r="5" spans="1:12" ht="18" customHeight="1" x14ac:dyDescent="0.25">
      <c r="A5" s="10"/>
      <c r="B5" s="10"/>
      <c r="C5" s="10"/>
      <c r="D5" s="10"/>
      <c r="E5" s="10"/>
      <c r="F5" s="10"/>
      <c r="G5" s="10"/>
      <c r="H5" s="10"/>
      <c r="I5" s="10"/>
      <c r="J5" s="10"/>
      <c r="K5" s="10"/>
      <c r="L5" s="10"/>
    </row>
    <row r="6" spans="1:12" ht="18" customHeight="1" x14ac:dyDescent="0.25">
      <c r="A6" s="10"/>
      <c r="B6" s="10"/>
      <c r="C6" s="10"/>
      <c r="D6" s="10"/>
      <c r="E6" s="10"/>
      <c r="F6" s="10"/>
      <c r="G6" s="10"/>
      <c r="H6" s="10"/>
      <c r="I6" s="10"/>
      <c r="J6" s="10"/>
      <c r="K6" s="10"/>
      <c r="L6" s="10"/>
    </row>
    <row r="8" spans="1:12" ht="15" customHeight="1" x14ac:dyDescent="0.25">
      <c r="A8" s="9" t="s">
        <v>6</v>
      </c>
      <c r="B8" s="9"/>
      <c r="C8" s="9"/>
      <c r="D8" s="9"/>
      <c r="F8" s="9" t="s">
        <v>7</v>
      </c>
      <c r="G8" s="9"/>
      <c r="H8" s="9"/>
      <c r="I8" s="9"/>
      <c r="K8" s="9" t="s">
        <v>8</v>
      </c>
      <c r="L8" s="9"/>
    </row>
    <row r="9" spans="1:12" ht="24" customHeight="1" x14ac:dyDescent="0.25">
      <c r="A9" s="8" t="s">
        <v>9</v>
      </c>
      <c r="B9" s="8"/>
      <c r="C9" s="8"/>
      <c r="D9" s="8"/>
      <c r="F9" s="15" t="s">
        <v>10</v>
      </c>
      <c r="G9" s="8" t="s">
        <v>11</v>
      </c>
      <c r="H9" s="8"/>
      <c r="I9" s="8"/>
      <c r="K9" s="8" t="s">
        <v>12</v>
      </c>
      <c r="L9" s="8"/>
    </row>
    <row r="10" spans="1:12" ht="24" customHeight="1" x14ac:dyDescent="0.25">
      <c r="A10" s="8" t="s">
        <v>13</v>
      </c>
      <c r="B10" s="8"/>
      <c r="C10" s="8"/>
      <c r="D10" s="8"/>
      <c r="F10" s="15" t="s">
        <v>4</v>
      </c>
      <c r="G10" s="8" t="s">
        <v>14</v>
      </c>
      <c r="H10" s="8"/>
      <c r="I10" s="8"/>
      <c r="K10" s="8" t="s">
        <v>15</v>
      </c>
      <c r="L10" s="8"/>
    </row>
    <row r="11" spans="1:12" ht="24" customHeight="1" x14ac:dyDescent="0.25">
      <c r="A11" s="8" t="s">
        <v>16</v>
      </c>
      <c r="B11" s="8"/>
      <c r="C11" s="8"/>
      <c r="D11" s="8"/>
      <c r="F11" s="15" t="s">
        <v>17</v>
      </c>
      <c r="G11" s="8" t="s">
        <v>18</v>
      </c>
      <c r="H11" s="8"/>
      <c r="I11" s="8"/>
      <c r="K11" s="8" t="s">
        <v>19</v>
      </c>
      <c r="L11" s="8"/>
    </row>
    <row r="12" spans="1:12" ht="24" customHeight="1" x14ac:dyDescent="0.25">
      <c r="A12" s="8" t="s">
        <v>20</v>
      </c>
      <c r="B12" s="8"/>
      <c r="C12" s="8"/>
      <c r="D12" s="8"/>
      <c r="F12" s="15" t="s">
        <v>21</v>
      </c>
      <c r="G12" s="8" t="s">
        <v>22</v>
      </c>
      <c r="H12" s="8"/>
      <c r="I12" s="8"/>
      <c r="K12" s="8" t="s">
        <v>23</v>
      </c>
      <c r="L12" s="8"/>
    </row>
    <row r="13" spans="1:12" ht="15" customHeight="1" x14ac:dyDescent="0.25">
      <c r="A13" s="8" t="s">
        <v>24</v>
      </c>
      <c r="B13" s="8"/>
      <c r="C13" s="8"/>
      <c r="D13" s="8"/>
      <c r="K13" s="8" t="s">
        <v>25</v>
      </c>
      <c r="L13" s="8"/>
    </row>
    <row r="16" spans="1:12" ht="15" customHeight="1" x14ac:dyDescent="0.25">
      <c r="A16" s="9" t="s">
        <v>26</v>
      </c>
      <c r="B16" s="9"/>
      <c r="C16" s="9"/>
      <c r="D16" s="9"/>
      <c r="E16" s="9"/>
      <c r="F16" s="9"/>
      <c r="G16" s="9"/>
      <c r="H16" s="9"/>
      <c r="I16" s="9"/>
      <c r="J16" s="9"/>
      <c r="K16" s="9"/>
      <c r="L16" s="9"/>
    </row>
    <row r="17" spans="1:12" ht="21.75" customHeight="1" x14ac:dyDescent="0.25">
      <c r="A17" s="15" t="s">
        <v>27</v>
      </c>
      <c r="C17" s="15" t="s">
        <v>10</v>
      </c>
      <c r="E17" s="15" t="s">
        <v>28</v>
      </c>
      <c r="G17" s="15" t="s">
        <v>29</v>
      </c>
      <c r="I17" s="15" t="s">
        <v>30</v>
      </c>
    </row>
    <row r="18" spans="1:12" ht="21.75" customHeight="1" x14ac:dyDescent="0.25">
      <c r="A18" s="7" t="s">
        <v>31</v>
      </c>
      <c r="B18" s="7"/>
      <c r="C18" s="7" t="s">
        <v>32</v>
      </c>
      <c r="D18" s="7"/>
      <c r="E18" s="7" t="s">
        <v>33</v>
      </c>
      <c r="F18" s="7"/>
      <c r="G18" s="7" t="s">
        <v>34</v>
      </c>
      <c r="H18" s="7"/>
      <c r="I18" s="7" t="s">
        <v>35</v>
      </c>
      <c r="J18" s="7"/>
    </row>
    <row r="19" spans="1:12" ht="21.75" customHeight="1" x14ac:dyDescent="0.25">
      <c r="A19" s="7" t="s">
        <v>36</v>
      </c>
      <c r="B19" s="7"/>
      <c r="C19" s="7" t="s">
        <v>37</v>
      </c>
      <c r="D19" s="7"/>
      <c r="E19" s="7" t="s">
        <v>38</v>
      </c>
      <c r="F19" s="7"/>
      <c r="G19" s="7" t="s">
        <v>39</v>
      </c>
      <c r="H19" s="7"/>
      <c r="I19" s="7" t="s">
        <v>40</v>
      </c>
      <c r="J19" s="7"/>
    </row>
    <row r="20" spans="1:12" ht="21.75" customHeight="1" x14ac:dyDescent="0.25">
      <c r="A20" s="7" t="s">
        <v>41</v>
      </c>
      <c r="B20" s="7"/>
      <c r="C20" s="7" t="s">
        <v>42</v>
      </c>
      <c r="D20" s="7"/>
      <c r="E20" s="7" t="s">
        <v>43</v>
      </c>
      <c r="F20" s="7"/>
      <c r="G20" s="7" t="s">
        <v>44</v>
      </c>
      <c r="H20" s="7"/>
      <c r="I20" s="7" t="s">
        <v>45</v>
      </c>
      <c r="J20" s="7"/>
    </row>
    <row r="21" spans="1:12" ht="21.75" customHeight="1" x14ac:dyDescent="0.25">
      <c r="C21" s="7" t="s">
        <v>46</v>
      </c>
      <c r="D21" s="7"/>
      <c r="E21" s="7" t="s">
        <v>47</v>
      </c>
      <c r="F21" s="7"/>
      <c r="G21" s="7" t="s">
        <v>48</v>
      </c>
      <c r="H21" s="7"/>
      <c r="I21" s="7" t="s">
        <v>49</v>
      </c>
      <c r="J21" s="7"/>
    </row>
    <row r="24" spans="1:12" ht="15" customHeight="1" x14ac:dyDescent="0.25">
      <c r="A24" s="9" t="s">
        <v>50</v>
      </c>
      <c r="B24" s="9"/>
      <c r="C24" s="9"/>
      <c r="D24" s="9"/>
      <c r="E24" s="9"/>
      <c r="F24" s="9"/>
      <c r="G24" s="9"/>
      <c r="H24" s="9"/>
      <c r="I24" s="9"/>
      <c r="J24" s="9"/>
      <c r="K24" s="9"/>
      <c r="L24" s="9"/>
    </row>
    <row r="25" spans="1:12" ht="15" customHeight="1" x14ac:dyDescent="0.25">
      <c r="A25" s="8" t="s">
        <v>51</v>
      </c>
      <c r="B25" s="8"/>
      <c r="C25" s="8"/>
      <c r="D25" s="8"/>
      <c r="E25" s="8"/>
      <c r="F25" s="8"/>
      <c r="G25" s="8"/>
      <c r="H25" s="8"/>
      <c r="I25" s="8"/>
      <c r="J25" s="8"/>
      <c r="K25" s="8"/>
      <c r="L25" s="8"/>
    </row>
    <row r="26" spans="1:12" ht="15" customHeight="1" x14ac:dyDescent="0.25">
      <c r="A26" s="8" t="s">
        <v>52</v>
      </c>
      <c r="B26" s="8"/>
      <c r="C26" s="8"/>
      <c r="D26" s="8"/>
      <c r="E26" s="8"/>
      <c r="F26" s="8"/>
      <c r="G26" s="8"/>
      <c r="H26" s="8"/>
      <c r="I26" s="8"/>
      <c r="J26" s="8"/>
      <c r="K26" s="8"/>
      <c r="L26" s="8"/>
    </row>
    <row r="27" spans="1:12" ht="15" customHeight="1" x14ac:dyDescent="0.25">
      <c r="A27" s="8" t="s">
        <v>53</v>
      </c>
      <c r="B27" s="8"/>
      <c r="C27" s="8"/>
      <c r="D27" s="8"/>
      <c r="E27" s="8"/>
      <c r="F27" s="8"/>
      <c r="G27" s="8"/>
      <c r="H27" s="8"/>
      <c r="I27" s="8"/>
      <c r="J27" s="8"/>
      <c r="K27" s="8"/>
      <c r="L27" s="8"/>
    </row>
    <row r="28" spans="1:12" ht="15" customHeight="1" x14ac:dyDescent="0.25">
      <c r="A28" s="8" t="s">
        <v>54</v>
      </c>
      <c r="B28" s="8"/>
      <c r="C28" s="8"/>
      <c r="D28" s="8"/>
      <c r="E28" s="8"/>
      <c r="F28" s="8"/>
      <c r="G28" s="8"/>
      <c r="H28" s="8"/>
      <c r="I28" s="8"/>
      <c r="J28" s="8"/>
      <c r="K28" s="8"/>
      <c r="L28" s="8"/>
    </row>
    <row r="29" spans="1:12" ht="15" customHeight="1" x14ac:dyDescent="0.25">
      <c r="A29" s="8" t="s">
        <v>55</v>
      </c>
      <c r="B29" s="8"/>
      <c r="C29" s="8"/>
      <c r="D29" s="8"/>
      <c r="E29" s="8"/>
      <c r="F29" s="8"/>
      <c r="G29" s="8"/>
      <c r="H29" s="8"/>
      <c r="I29" s="8"/>
      <c r="J29" s="8"/>
      <c r="K29" s="8"/>
      <c r="L29" s="8"/>
    </row>
  </sheetData>
  <mergeCells count="46">
    <mergeCell ref="A25:L25"/>
    <mergeCell ref="A26:L26"/>
    <mergeCell ref="A27:L27"/>
    <mergeCell ref="A28:L28"/>
    <mergeCell ref="A29:L29"/>
    <mergeCell ref="C21:D21"/>
    <mergeCell ref="E21:F21"/>
    <mergeCell ref="G21:H21"/>
    <mergeCell ref="I21:J21"/>
    <mergeCell ref="A24:L24"/>
    <mergeCell ref="A20:B20"/>
    <mergeCell ref="C20:D20"/>
    <mergeCell ref="E20:F20"/>
    <mergeCell ref="G20:H20"/>
    <mergeCell ref="I20:J20"/>
    <mergeCell ref="A19:B19"/>
    <mergeCell ref="C19:D19"/>
    <mergeCell ref="E19:F19"/>
    <mergeCell ref="G19:H19"/>
    <mergeCell ref="I19:J19"/>
    <mergeCell ref="A13:D13"/>
    <mergeCell ref="K13:L13"/>
    <mergeCell ref="A16:L16"/>
    <mergeCell ref="A18:B18"/>
    <mergeCell ref="C18:D18"/>
    <mergeCell ref="E18:F18"/>
    <mergeCell ref="G18:H18"/>
    <mergeCell ref="I18:J18"/>
    <mergeCell ref="A11:D11"/>
    <mergeCell ref="G11:I11"/>
    <mergeCell ref="K11:L11"/>
    <mergeCell ref="A12:D12"/>
    <mergeCell ref="G12:I12"/>
    <mergeCell ref="K12:L12"/>
    <mergeCell ref="A9:D9"/>
    <mergeCell ref="G9:I9"/>
    <mergeCell ref="K9:L9"/>
    <mergeCell ref="A10:D10"/>
    <mergeCell ref="G10:I10"/>
    <mergeCell ref="K10:L10"/>
    <mergeCell ref="A1:L1"/>
    <mergeCell ref="A2:L2"/>
    <mergeCell ref="A4:L6"/>
    <mergeCell ref="A8:D8"/>
    <mergeCell ref="F8:I8"/>
    <mergeCell ref="K8:L8"/>
  </mergeCells>
  <hyperlinks>
    <hyperlink ref="A3" r:id="rId1" location="'Start%20Here'!A1" xr:uid="{00000000-0004-0000-0000-000000000000}"/>
    <hyperlink ref="B3" r:id="rId2" location="'UAT%20Overview'!A1" xr:uid="{00000000-0004-0000-0000-000001000000}"/>
    <hyperlink ref="C3" r:id="rId3" location="'Executive%20Dashboard'!A1" xr:uid="{00000000-0004-0000-0000-000002000000}"/>
    <hyperlink ref="D3" r:id="rId4" location="'Operational%20Dashboard'!A1" xr:uid="{00000000-0004-0000-0000-000003000000}"/>
    <hyperlink ref="E3" r:id="rId5" location="'Readiness%20Checklist'!A1" xr:uid="{00000000-0004-0000-0000-000004000000}"/>
    <hyperlink ref="A18" r:id="rId6" location="'Branding%20&amp;%20Setup'!A1" xr:uid="{00000000-0004-0000-0000-000005000000}"/>
    <hyperlink ref="C18" r:id="rId7" location="'Executive%20Dashboard'!A1" xr:uid="{00000000-0004-0000-0000-000006000000}"/>
    <hyperlink ref="E18" r:id="rId8" location="'UAT%20Plan'!A1" xr:uid="{00000000-0004-0000-0000-000007000000}"/>
    <hyperlink ref="G18" r:id="rId9" location="'Defect%20Log'!A1" xr:uid="{00000000-0004-0000-0000-000008000000}"/>
    <hyperlink ref="I18" r:id="rId10" location="'Status%20Report%20Input'!A1" xr:uid="{00000000-0004-0000-0000-000009000000}"/>
    <hyperlink ref="A19" r:id="rId11" location="'User%20Guidance'!A1" xr:uid="{00000000-0004-0000-0000-00000A000000}"/>
    <hyperlink ref="C19" r:id="rId12" location="'Operational%20Dashboard'!A1" xr:uid="{00000000-0004-0000-0000-00000B000000}"/>
    <hyperlink ref="E19" r:id="rId13" location="'Readiness%20Checklist'!A1" xr:uid="{00000000-0004-0000-0000-00000C000000}"/>
    <hyperlink ref="G19" r:id="rId14" location="'Issue%20Log'!A1" xr:uid="{00000000-0004-0000-0000-00000D000000}"/>
    <hyperlink ref="I19" r:id="rId15" location="'Exit%20&amp;%20Sign-Off'!A1" xr:uid="{00000000-0004-0000-0000-00000E000000}"/>
    <hyperlink ref="A20" r:id="rId16" location="'UAT%20Overview'!A1" xr:uid="{00000000-0004-0000-0000-00000F000000}"/>
    <hyperlink ref="C20" r:id="rId17" location="'Defect%20&amp;%20Quality'!A1" xr:uid="{00000000-0004-0000-0000-000010000000}"/>
    <hyperlink ref="E20" r:id="rId18" location="'Scenario%20Register'!A1" xr:uid="{00000000-0004-0000-0000-000011000000}"/>
    <hyperlink ref="G20" r:id="rId19" location="'Risk%20&amp;%20Assumptions'!A1" xr:uid="{00000000-0004-0000-0000-000012000000}"/>
    <hyperlink ref="I20" r:id="rId20" location="'Lessons%20Learned'!A1" xr:uid="{00000000-0004-0000-0000-000013000000}"/>
    <hyperlink ref="C21" r:id="rId21" location="'Readiness%20Dashboard'!A1" xr:uid="{00000000-0004-0000-0000-000014000000}"/>
    <hyperlink ref="E21" r:id="rId22" location="'Execution%20Tracker'!A1" xr:uid="{00000000-0004-0000-0000-000015000000}"/>
    <hyperlink ref="G21" r:id="rId23" location="'Decision%20Log'!A1" xr:uid="{00000000-0004-0000-0000-000016000000}"/>
    <hyperlink ref="I21" r:id="rId24" location="'About%20&amp;%20Attribution'!A1" xr:uid="{00000000-0004-0000-0000-000017000000}"/>
  </hyperlink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8"/>
  <sheetViews>
    <sheetView zoomScaleNormal="100" workbookViewId="0">
      <pane ySplit="8" topLeftCell="A9" activePane="bottomLeft" state="frozen"/>
      <selection pane="bottomLeft" sqref="A1:K1"/>
    </sheetView>
  </sheetViews>
  <sheetFormatPr defaultColWidth="8.7109375" defaultRowHeight="15" customHeight="1" x14ac:dyDescent="0.25"/>
  <cols>
    <col min="1" max="1" width="12" customWidth="1"/>
    <col min="2" max="2" width="24" customWidth="1"/>
    <col min="3" max="3" width="14" customWidth="1"/>
    <col min="4" max="4" width="20" customWidth="1"/>
    <col min="5" max="5" width="18" customWidth="1"/>
    <col min="6" max="6" width="12" customWidth="1"/>
    <col min="7" max="8" width="34" customWidth="1"/>
    <col min="9" max="9" width="18" customWidth="1"/>
    <col min="10" max="10" width="14" customWidth="1"/>
    <col min="11" max="11" width="24" customWidth="1"/>
  </cols>
  <sheetData>
    <row r="1" spans="1:11" ht="25.5" customHeight="1" x14ac:dyDescent="0.25">
      <c r="A1" s="12" t="str">
        <f>'Branding &amp; Setup'!$B$9 &amp; " | Scope Register"</f>
        <v>Northbridge Citizens Services | Scope Register</v>
      </c>
      <c r="B1" s="12"/>
      <c r="C1" s="12"/>
      <c r="D1" s="12"/>
      <c r="E1" s="12"/>
      <c r="F1" s="12"/>
      <c r="G1" s="12"/>
      <c r="H1" s="12"/>
      <c r="I1" s="12"/>
      <c r="J1" s="12"/>
      <c r="K1" s="12"/>
    </row>
    <row r="2" spans="1:11"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row>
    <row r="3" spans="1:11" ht="18" customHeight="1" x14ac:dyDescent="0.25">
      <c r="A3" s="13" t="s">
        <v>0</v>
      </c>
      <c r="B3" s="13" t="s">
        <v>1</v>
      </c>
      <c r="C3" s="13" t="s">
        <v>2</v>
      </c>
      <c r="D3" s="13" t="s">
        <v>3</v>
      </c>
      <c r="E3" s="13" t="s">
        <v>4</v>
      </c>
    </row>
    <row r="4" spans="1:11" ht="18" customHeight="1" x14ac:dyDescent="0.25">
      <c r="A4" s="10" t="s">
        <v>270</v>
      </c>
      <c r="B4" s="10"/>
      <c r="C4" s="10"/>
      <c r="D4" s="10"/>
      <c r="E4" s="10"/>
      <c r="F4" s="10"/>
      <c r="G4" s="10"/>
      <c r="H4" s="10"/>
      <c r="I4" s="10"/>
      <c r="J4" s="10"/>
      <c r="K4" s="10"/>
    </row>
    <row r="5" spans="1:11" ht="18" customHeight="1" x14ac:dyDescent="0.25">
      <c r="A5" s="10"/>
      <c r="B5" s="10"/>
      <c r="C5" s="10"/>
      <c r="D5" s="10"/>
      <c r="E5" s="10"/>
      <c r="F5" s="10"/>
      <c r="G5" s="10"/>
      <c r="H5" s="10"/>
      <c r="I5" s="10"/>
      <c r="J5" s="10"/>
      <c r="K5" s="10"/>
    </row>
    <row r="6" spans="1:11" ht="18" customHeight="1" x14ac:dyDescent="0.25">
      <c r="A6" s="10"/>
      <c r="B6" s="10"/>
      <c r="C6" s="10"/>
      <c r="D6" s="10"/>
      <c r="E6" s="10"/>
      <c r="F6" s="10"/>
      <c r="G6" s="10"/>
      <c r="H6" s="10"/>
      <c r="I6" s="10"/>
      <c r="J6" s="10"/>
      <c r="K6" s="10"/>
    </row>
    <row r="8" spans="1:11" x14ac:dyDescent="0.25">
      <c r="A8" s="21" t="s">
        <v>271</v>
      </c>
      <c r="B8" s="21" t="s">
        <v>272</v>
      </c>
      <c r="C8" s="21" t="s">
        <v>273</v>
      </c>
      <c r="D8" s="21" t="s">
        <v>274</v>
      </c>
      <c r="E8" s="21" t="s">
        <v>275</v>
      </c>
      <c r="F8" s="21" t="s">
        <v>276</v>
      </c>
      <c r="G8" s="21" t="s">
        <v>223</v>
      </c>
      <c r="H8" s="21" t="s">
        <v>277</v>
      </c>
      <c r="I8" s="21" t="s">
        <v>226</v>
      </c>
      <c r="J8" s="21" t="s">
        <v>278</v>
      </c>
      <c r="K8" s="21" t="s">
        <v>154</v>
      </c>
    </row>
    <row r="9" spans="1:11" ht="38.25" x14ac:dyDescent="0.25">
      <c r="A9" s="16" t="s">
        <v>279</v>
      </c>
      <c r="B9" s="16" t="s">
        <v>280</v>
      </c>
      <c r="C9" s="16" t="s">
        <v>281</v>
      </c>
      <c r="D9" s="16" t="s">
        <v>282</v>
      </c>
      <c r="E9" s="16" t="s">
        <v>283</v>
      </c>
      <c r="F9" s="16" t="s">
        <v>284</v>
      </c>
      <c r="G9" s="25" t="s">
        <v>285</v>
      </c>
      <c r="H9" s="25" t="s">
        <v>286</v>
      </c>
      <c r="I9" s="16" t="s">
        <v>81</v>
      </c>
      <c r="J9" s="26">
        <f>COUNTIF('Scenario Register'!$E$9:$E$200,C9)</f>
        <v>3</v>
      </c>
      <c r="K9" s="16"/>
    </row>
    <row r="10" spans="1:11" ht="38.25" x14ac:dyDescent="0.25">
      <c r="A10" s="16" t="s">
        <v>287</v>
      </c>
      <c r="B10" s="16" t="s">
        <v>288</v>
      </c>
      <c r="C10" s="16" t="s">
        <v>289</v>
      </c>
      <c r="D10" s="16" t="s">
        <v>290</v>
      </c>
      <c r="E10" s="16" t="s">
        <v>291</v>
      </c>
      <c r="F10" s="16" t="s">
        <v>284</v>
      </c>
      <c r="G10" s="25" t="s">
        <v>292</v>
      </c>
      <c r="H10" s="25" t="s">
        <v>286</v>
      </c>
      <c r="I10" s="16" t="s">
        <v>81</v>
      </c>
      <c r="J10" s="26">
        <f>COUNTIF('Scenario Register'!$E$9:$E$200,C10)</f>
        <v>3</v>
      </c>
      <c r="K10" s="16"/>
    </row>
    <row r="11" spans="1:11" ht="38.25" x14ac:dyDescent="0.25">
      <c r="A11" s="16" t="s">
        <v>293</v>
      </c>
      <c r="B11" s="16" t="s">
        <v>294</v>
      </c>
      <c r="C11" s="16" t="s">
        <v>295</v>
      </c>
      <c r="D11" s="16" t="s">
        <v>296</v>
      </c>
      <c r="E11" s="16" t="s">
        <v>297</v>
      </c>
      <c r="F11" s="16" t="s">
        <v>284</v>
      </c>
      <c r="G11" s="25" t="s">
        <v>298</v>
      </c>
      <c r="H11" s="25" t="s">
        <v>286</v>
      </c>
      <c r="I11" s="16" t="s">
        <v>299</v>
      </c>
      <c r="J11" s="26">
        <f>COUNTIF('Scenario Register'!$E$9:$E$200,C11)</f>
        <v>3</v>
      </c>
      <c r="K11" s="16"/>
    </row>
    <row r="12" spans="1:11" ht="38.25" x14ac:dyDescent="0.25">
      <c r="A12" s="16" t="s">
        <v>300</v>
      </c>
      <c r="B12" s="16" t="s">
        <v>301</v>
      </c>
      <c r="C12" s="16" t="s">
        <v>302</v>
      </c>
      <c r="D12" s="16" t="s">
        <v>303</v>
      </c>
      <c r="E12" s="16" t="s">
        <v>304</v>
      </c>
      <c r="F12" s="16" t="s">
        <v>284</v>
      </c>
      <c r="G12" s="25" t="s">
        <v>305</v>
      </c>
      <c r="H12" s="25" t="s">
        <v>286</v>
      </c>
      <c r="I12" s="16" t="s">
        <v>79</v>
      </c>
      <c r="J12" s="26">
        <f>COUNTIF('Scenario Register'!$E$9:$E$200,C12)</f>
        <v>3</v>
      </c>
      <c r="K12" s="16"/>
    </row>
    <row r="13" spans="1:11" ht="38.25" x14ac:dyDescent="0.25">
      <c r="A13" s="16" t="s">
        <v>306</v>
      </c>
      <c r="B13" s="16" t="s">
        <v>307</v>
      </c>
      <c r="C13" s="16" t="s">
        <v>308</v>
      </c>
      <c r="D13" s="16" t="s">
        <v>309</v>
      </c>
      <c r="E13" s="16" t="s">
        <v>310</v>
      </c>
      <c r="F13" s="16" t="s">
        <v>284</v>
      </c>
      <c r="G13" s="25" t="s">
        <v>311</v>
      </c>
      <c r="H13" s="25" t="s">
        <v>286</v>
      </c>
      <c r="I13" s="16" t="s">
        <v>79</v>
      </c>
      <c r="J13" s="26">
        <f>COUNTIF('Scenario Register'!$E$9:$E$200,C13)</f>
        <v>3</v>
      </c>
      <c r="K13" s="16" t="s">
        <v>312</v>
      </c>
    </row>
    <row r="14" spans="1:11" ht="38.25" x14ac:dyDescent="0.25">
      <c r="A14" s="16" t="s">
        <v>313</v>
      </c>
      <c r="B14" s="25" t="s">
        <v>314</v>
      </c>
      <c r="C14" s="16" t="s">
        <v>315</v>
      </c>
      <c r="D14" s="16" t="s">
        <v>316</v>
      </c>
      <c r="E14" s="16" t="s">
        <v>283</v>
      </c>
      <c r="F14" s="16" t="s">
        <v>284</v>
      </c>
      <c r="G14" s="25" t="s">
        <v>317</v>
      </c>
      <c r="H14" s="25" t="s">
        <v>286</v>
      </c>
      <c r="I14" s="16" t="s">
        <v>79</v>
      </c>
      <c r="J14" s="26">
        <f>COUNTIF('Scenario Register'!$E$9:$E$200,C14)</f>
        <v>3</v>
      </c>
      <c r="K14" s="16"/>
    </row>
    <row r="15" spans="1:11" ht="38.25" x14ac:dyDescent="0.25">
      <c r="A15" s="16" t="s">
        <v>318</v>
      </c>
      <c r="B15" s="16" t="s">
        <v>319</v>
      </c>
      <c r="C15" s="16" t="s">
        <v>320</v>
      </c>
      <c r="D15" s="16" t="s">
        <v>321</v>
      </c>
      <c r="E15" s="16" t="s">
        <v>291</v>
      </c>
      <c r="F15" s="16" t="s">
        <v>284</v>
      </c>
      <c r="G15" s="25" t="s">
        <v>322</v>
      </c>
      <c r="H15" s="25" t="s">
        <v>286</v>
      </c>
      <c r="I15" s="16" t="s">
        <v>81</v>
      </c>
      <c r="J15" s="26">
        <f>COUNTIF('Scenario Register'!$E$9:$E$200,C15)</f>
        <v>3</v>
      </c>
      <c r="K15" s="16"/>
    </row>
    <row r="16" spans="1:11" ht="38.25" x14ac:dyDescent="0.25">
      <c r="A16" s="16" t="s">
        <v>323</v>
      </c>
      <c r="B16" s="16" t="s">
        <v>324</v>
      </c>
      <c r="C16" s="16" t="s">
        <v>325</v>
      </c>
      <c r="D16" s="16" t="s">
        <v>326</v>
      </c>
      <c r="E16" s="16" t="s">
        <v>297</v>
      </c>
      <c r="F16" s="16" t="s">
        <v>284</v>
      </c>
      <c r="G16" s="25" t="s">
        <v>327</v>
      </c>
      <c r="H16" s="25" t="s">
        <v>286</v>
      </c>
      <c r="I16" s="16" t="s">
        <v>231</v>
      </c>
      <c r="J16" s="26">
        <f>COUNTIF('Scenario Register'!$E$9:$E$200,C16)</f>
        <v>3</v>
      </c>
      <c r="K16" s="16"/>
    </row>
    <row r="17" spans="1:11" ht="38.25" x14ac:dyDescent="0.25">
      <c r="A17" s="16" t="s">
        <v>328</v>
      </c>
      <c r="B17" s="16" t="s">
        <v>329</v>
      </c>
      <c r="C17" s="16" t="s">
        <v>330</v>
      </c>
      <c r="D17" s="16" t="s">
        <v>331</v>
      </c>
      <c r="E17" s="16" t="s">
        <v>304</v>
      </c>
      <c r="F17" s="16" t="s">
        <v>284</v>
      </c>
      <c r="G17" s="25" t="s">
        <v>332</v>
      </c>
      <c r="H17" s="25" t="s">
        <v>286</v>
      </c>
      <c r="I17" s="16" t="s">
        <v>81</v>
      </c>
      <c r="J17" s="26">
        <f>COUNTIF('Scenario Register'!$E$9:$E$200,C17)</f>
        <v>3</v>
      </c>
      <c r="K17" s="16"/>
    </row>
    <row r="18" spans="1:11" ht="38.25" x14ac:dyDescent="0.25">
      <c r="A18" s="16" t="s">
        <v>333</v>
      </c>
      <c r="B18" s="16" t="s">
        <v>334</v>
      </c>
      <c r="C18" s="16" t="s">
        <v>335</v>
      </c>
      <c r="D18" s="16" t="s">
        <v>336</v>
      </c>
      <c r="E18" s="16" t="s">
        <v>310</v>
      </c>
      <c r="F18" s="16" t="s">
        <v>284</v>
      </c>
      <c r="G18" s="25" t="s">
        <v>337</v>
      </c>
      <c r="H18" s="25" t="s">
        <v>286</v>
      </c>
      <c r="I18" s="16" t="s">
        <v>231</v>
      </c>
      <c r="J18" s="26">
        <f>COUNTIF('Scenario Register'!$E$9:$E$200,C18)</f>
        <v>3</v>
      </c>
      <c r="K18" s="16" t="s">
        <v>312</v>
      </c>
    </row>
    <row r="19" spans="1:11" ht="38.25" x14ac:dyDescent="0.25">
      <c r="A19" s="16" t="s">
        <v>338</v>
      </c>
      <c r="B19" s="16" t="s">
        <v>339</v>
      </c>
      <c r="C19" s="16" t="s">
        <v>340</v>
      </c>
      <c r="D19" s="16" t="s">
        <v>341</v>
      </c>
      <c r="E19" s="16" t="s">
        <v>283</v>
      </c>
      <c r="F19" s="16" t="s">
        <v>284</v>
      </c>
      <c r="G19" s="25" t="s">
        <v>342</v>
      </c>
      <c r="H19" s="25" t="s">
        <v>286</v>
      </c>
      <c r="I19" s="16" t="s">
        <v>343</v>
      </c>
      <c r="J19" s="26">
        <f>COUNTIF('Scenario Register'!$E$9:$E$200,C19)</f>
        <v>3</v>
      </c>
      <c r="K19" s="16"/>
    </row>
    <row r="20" spans="1:11" ht="38.25" x14ac:dyDescent="0.25">
      <c r="A20" s="16" t="s">
        <v>344</v>
      </c>
      <c r="B20" s="16" t="s">
        <v>345</v>
      </c>
      <c r="C20" s="16" t="s">
        <v>346</v>
      </c>
      <c r="D20" s="16" t="s">
        <v>347</v>
      </c>
      <c r="E20" s="16" t="s">
        <v>291</v>
      </c>
      <c r="F20" s="16" t="s">
        <v>284</v>
      </c>
      <c r="G20" s="25" t="s">
        <v>348</v>
      </c>
      <c r="H20" s="25" t="s">
        <v>286</v>
      </c>
      <c r="I20" s="16" t="s">
        <v>81</v>
      </c>
      <c r="J20" s="26">
        <f>COUNTIF('Scenario Register'!$E$9:$E$200,C20)</f>
        <v>3</v>
      </c>
      <c r="K20" s="16"/>
    </row>
    <row r="21" spans="1:11" ht="38.25" x14ac:dyDescent="0.25">
      <c r="A21" s="16" t="s">
        <v>349</v>
      </c>
      <c r="B21" s="16" t="s">
        <v>350</v>
      </c>
      <c r="C21" s="16" t="s">
        <v>351</v>
      </c>
      <c r="D21" s="16" t="s">
        <v>352</v>
      </c>
      <c r="E21" s="16" t="s">
        <v>297</v>
      </c>
      <c r="F21" s="16" t="s">
        <v>284</v>
      </c>
      <c r="G21" s="25" t="s">
        <v>353</v>
      </c>
      <c r="H21" s="25" t="s">
        <v>286</v>
      </c>
      <c r="I21" s="16" t="s">
        <v>81</v>
      </c>
      <c r="J21" s="26">
        <f>COUNTIF('Scenario Register'!$E$9:$E$200,C21)</f>
        <v>3</v>
      </c>
      <c r="K21" s="16"/>
    </row>
    <row r="22" spans="1:11" ht="38.25" x14ac:dyDescent="0.25">
      <c r="A22" s="16" t="s">
        <v>354</v>
      </c>
      <c r="B22" s="16" t="s">
        <v>355</v>
      </c>
      <c r="C22" s="16" t="s">
        <v>356</v>
      </c>
      <c r="D22" s="16" t="s">
        <v>357</v>
      </c>
      <c r="E22" s="16" t="s">
        <v>304</v>
      </c>
      <c r="F22" s="16" t="s">
        <v>284</v>
      </c>
      <c r="G22" s="25" t="s">
        <v>358</v>
      </c>
      <c r="H22" s="25" t="s">
        <v>286</v>
      </c>
      <c r="I22" s="16" t="s">
        <v>81</v>
      </c>
      <c r="J22" s="26">
        <f>COUNTIF('Scenario Register'!$E$9:$E$200,C22)</f>
        <v>3</v>
      </c>
      <c r="K22" s="16"/>
    </row>
    <row r="23" spans="1:11" ht="38.25" x14ac:dyDescent="0.25">
      <c r="A23" s="16" t="s">
        <v>359</v>
      </c>
      <c r="B23" s="16" t="s">
        <v>360</v>
      </c>
      <c r="C23" s="16" t="s">
        <v>361</v>
      </c>
      <c r="D23" s="16" t="s">
        <v>362</v>
      </c>
      <c r="E23" s="16" t="s">
        <v>310</v>
      </c>
      <c r="F23" s="16" t="s">
        <v>284</v>
      </c>
      <c r="G23" s="25" t="s">
        <v>363</v>
      </c>
      <c r="H23" s="25" t="s">
        <v>286</v>
      </c>
      <c r="I23" s="16" t="s">
        <v>79</v>
      </c>
      <c r="J23" s="26">
        <f>COUNTIF('Scenario Register'!$E$9:$E$200,C23)</f>
        <v>3</v>
      </c>
      <c r="K23" s="16" t="s">
        <v>312</v>
      </c>
    </row>
    <row r="24" spans="1:11" ht="38.25" x14ac:dyDescent="0.25">
      <c r="A24" s="16" t="s">
        <v>364</v>
      </c>
      <c r="B24" s="16" t="s">
        <v>365</v>
      </c>
      <c r="C24" s="16" t="s">
        <v>366</v>
      </c>
      <c r="D24" s="16" t="s">
        <v>367</v>
      </c>
      <c r="E24" s="16" t="s">
        <v>283</v>
      </c>
      <c r="F24" s="16" t="s">
        <v>284</v>
      </c>
      <c r="G24" s="25" t="s">
        <v>368</v>
      </c>
      <c r="H24" s="25" t="s">
        <v>286</v>
      </c>
      <c r="I24" s="16" t="s">
        <v>79</v>
      </c>
      <c r="J24" s="26">
        <f>COUNTIF('Scenario Register'!$E$9:$E$200,C24)</f>
        <v>3</v>
      </c>
      <c r="K24" s="16"/>
    </row>
    <row r="25" spans="1:11" ht="38.25" x14ac:dyDescent="0.25">
      <c r="A25" s="16" t="s">
        <v>369</v>
      </c>
      <c r="B25" s="16" t="s">
        <v>370</v>
      </c>
      <c r="C25" s="16" t="s">
        <v>371</v>
      </c>
      <c r="D25" s="16" t="s">
        <v>372</v>
      </c>
      <c r="E25" s="16" t="s">
        <v>291</v>
      </c>
      <c r="F25" s="16" t="s">
        <v>284</v>
      </c>
      <c r="G25" s="25" t="s">
        <v>373</v>
      </c>
      <c r="H25" s="25" t="s">
        <v>286</v>
      </c>
      <c r="I25" s="16" t="s">
        <v>231</v>
      </c>
      <c r="J25" s="26">
        <f>COUNTIF('Scenario Register'!$E$9:$E$200,C25)</f>
        <v>3</v>
      </c>
      <c r="K25" s="16"/>
    </row>
    <row r="26" spans="1:11" ht="38.25" x14ac:dyDescent="0.25">
      <c r="A26" s="16" t="s">
        <v>374</v>
      </c>
      <c r="B26" s="16" t="s">
        <v>375</v>
      </c>
      <c r="C26" s="16" t="s">
        <v>376</v>
      </c>
      <c r="D26" s="16" t="s">
        <v>377</v>
      </c>
      <c r="E26" s="16" t="s">
        <v>297</v>
      </c>
      <c r="F26" s="16" t="s">
        <v>284</v>
      </c>
      <c r="G26" s="25" t="s">
        <v>378</v>
      </c>
      <c r="H26" s="25" t="s">
        <v>286</v>
      </c>
      <c r="I26" s="16" t="s">
        <v>231</v>
      </c>
      <c r="J26" s="26">
        <f>COUNTIF('Scenario Register'!$E$9:$E$200,C26)</f>
        <v>3</v>
      </c>
      <c r="K26" s="16"/>
    </row>
    <row r="27" spans="1:11" ht="38.25" x14ac:dyDescent="0.25">
      <c r="A27" s="16" t="s">
        <v>379</v>
      </c>
      <c r="B27" s="16" t="s">
        <v>380</v>
      </c>
      <c r="C27" s="16" t="s">
        <v>381</v>
      </c>
      <c r="D27" s="16" t="s">
        <v>382</v>
      </c>
      <c r="E27" s="16" t="s">
        <v>304</v>
      </c>
      <c r="F27" s="16" t="s">
        <v>284</v>
      </c>
      <c r="G27" s="25" t="s">
        <v>383</v>
      </c>
      <c r="H27" s="25" t="s">
        <v>286</v>
      </c>
      <c r="I27" s="16" t="s">
        <v>81</v>
      </c>
      <c r="J27" s="26">
        <f>COUNTIF('Scenario Register'!$E$9:$E$200,C27)</f>
        <v>3</v>
      </c>
      <c r="K27" s="16"/>
    </row>
    <row r="28" spans="1:11" ht="38.25" x14ac:dyDescent="0.25">
      <c r="A28" s="16" t="s">
        <v>384</v>
      </c>
      <c r="B28" s="16" t="s">
        <v>385</v>
      </c>
      <c r="C28" s="16" t="s">
        <v>386</v>
      </c>
      <c r="D28" s="16" t="s">
        <v>387</v>
      </c>
      <c r="E28" s="16" t="s">
        <v>310</v>
      </c>
      <c r="F28" s="16" t="s">
        <v>284</v>
      </c>
      <c r="G28" s="25" t="s">
        <v>388</v>
      </c>
      <c r="H28" s="25" t="s">
        <v>286</v>
      </c>
      <c r="I28" s="16" t="s">
        <v>231</v>
      </c>
      <c r="J28" s="26">
        <f>COUNTIF('Scenario Register'!$E$9:$E$200,C28)</f>
        <v>3</v>
      </c>
      <c r="K28" s="16"/>
    </row>
    <row r="29" spans="1:11" ht="38.25" x14ac:dyDescent="0.25">
      <c r="A29" s="16" t="s">
        <v>389</v>
      </c>
      <c r="B29" s="16" t="s">
        <v>390</v>
      </c>
      <c r="C29" s="16" t="s">
        <v>391</v>
      </c>
      <c r="D29" s="16" t="s">
        <v>282</v>
      </c>
      <c r="E29" s="16" t="s">
        <v>283</v>
      </c>
      <c r="F29" s="16" t="s">
        <v>284</v>
      </c>
      <c r="G29" s="25" t="s">
        <v>285</v>
      </c>
      <c r="H29" s="25" t="s">
        <v>286</v>
      </c>
      <c r="I29" s="16" t="s">
        <v>79</v>
      </c>
      <c r="J29" s="26">
        <f>COUNTIF('Scenario Register'!$E$9:$E$200,C29)</f>
        <v>2</v>
      </c>
      <c r="K29" s="16"/>
    </row>
    <row r="30" spans="1:11" ht="38.25" x14ac:dyDescent="0.25">
      <c r="A30" s="16" t="s">
        <v>392</v>
      </c>
      <c r="B30" s="16" t="s">
        <v>288</v>
      </c>
      <c r="C30" s="16" t="s">
        <v>393</v>
      </c>
      <c r="D30" s="16" t="s">
        <v>290</v>
      </c>
      <c r="E30" s="16" t="s">
        <v>291</v>
      </c>
      <c r="F30" s="16" t="s">
        <v>284</v>
      </c>
      <c r="G30" s="25" t="s">
        <v>292</v>
      </c>
      <c r="H30" s="25" t="s">
        <v>286</v>
      </c>
      <c r="I30" s="16" t="s">
        <v>231</v>
      </c>
      <c r="J30" s="26">
        <f>COUNTIF('Scenario Register'!$E$9:$E$200,C30)</f>
        <v>2</v>
      </c>
      <c r="K30" s="16"/>
    </row>
    <row r="31" spans="1:11" ht="38.25" x14ac:dyDescent="0.25">
      <c r="A31" s="16" t="s">
        <v>394</v>
      </c>
      <c r="B31" s="16" t="s">
        <v>395</v>
      </c>
      <c r="C31" s="16" t="s">
        <v>396</v>
      </c>
      <c r="D31" s="16" t="s">
        <v>296</v>
      </c>
      <c r="E31" s="16" t="s">
        <v>297</v>
      </c>
      <c r="F31" s="16" t="s">
        <v>284</v>
      </c>
      <c r="G31" s="25" t="s">
        <v>298</v>
      </c>
      <c r="H31" s="25" t="s">
        <v>286</v>
      </c>
      <c r="I31" s="16" t="s">
        <v>343</v>
      </c>
      <c r="J31" s="26">
        <f>COUNTIF('Scenario Register'!$E$9:$E$200,C31)</f>
        <v>2</v>
      </c>
      <c r="K31" s="16"/>
    </row>
    <row r="32" spans="1:11" ht="38.25" x14ac:dyDescent="0.25">
      <c r="A32" s="16" t="s">
        <v>397</v>
      </c>
      <c r="B32" s="16" t="s">
        <v>398</v>
      </c>
      <c r="C32" s="16" t="s">
        <v>399</v>
      </c>
      <c r="D32" s="16" t="s">
        <v>303</v>
      </c>
      <c r="E32" s="16" t="s">
        <v>304</v>
      </c>
      <c r="F32" s="16" t="s">
        <v>284</v>
      </c>
      <c r="G32" s="25" t="s">
        <v>305</v>
      </c>
      <c r="H32" s="25" t="s">
        <v>286</v>
      </c>
      <c r="I32" s="16" t="s">
        <v>79</v>
      </c>
      <c r="J32" s="26">
        <f>COUNTIF('Scenario Register'!$E$9:$E$200,C32)</f>
        <v>2</v>
      </c>
      <c r="K32" s="16"/>
    </row>
    <row r="33" spans="1:11" ht="38.25" x14ac:dyDescent="0.25">
      <c r="A33" s="16" t="s">
        <v>400</v>
      </c>
      <c r="B33" s="16" t="s">
        <v>307</v>
      </c>
      <c r="C33" s="16" t="s">
        <v>401</v>
      </c>
      <c r="D33" s="16" t="s">
        <v>309</v>
      </c>
      <c r="E33" s="16" t="s">
        <v>310</v>
      </c>
      <c r="F33" s="16" t="s">
        <v>402</v>
      </c>
      <c r="G33" s="25" t="s">
        <v>311</v>
      </c>
      <c r="H33" s="25" t="s">
        <v>286</v>
      </c>
      <c r="I33" s="16" t="s">
        <v>343</v>
      </c>
      <c r="J33" s="26">
        <f>COUNTIF('Scenario Register'!$E$9:$E$200,C33)</f>
        <v>2</v>
      </c>
      <c r="K33" s="16"/>
    </row>
    <row r="34" spans="1:11" ht="38.25" x14ac:dyDescent="0.25">
      <c r="A34" s="16" t="s">
        <v>403</v>
      </c>
      <c r="B34" s="16" t="s">
        <v>404</v>
      </c>
      <c r="C34" s="16" t="s">
        <v>405</v>
      </c>
      <c r="D34" s="16" t="s">
        <v>316</v>
      </c>
      <c r="E34" s="16" t="s">
        <v>283</v>
      </c>
      <c r="F34" s="16" t="s">
        <v>402</v>
      </c>
      <c r="G34" s="25" t="s">
        <v>317</v>
      </c>
      <c r="H34" s="25" t="s">
        <v>286</v>
      </c>
      <c r="I34" s="16" t="s">
        <v>231</v>
      </c>
      <c r="J34" s="26">
        <f>COUNTIF('Scenario Register'!$E$9:$E$200,C34)</f>
        <v>2</v>
      </c>
      <c r="K34" s="16"/>
    </row>
    <row r="35" spans="1:11" ht="38.25" x14ac:dyDescent="0.25">
      <c r="A35" s="16" t="s">
        <v>406</v>
      </c>
      <c r="B35" s="16" t="s">
        <v>407</v>
      </c>
      <c r="C35" s="16" t="s">
        <v>408</v>
      </c>
      <c r="D35" s="16" t="s">
        <v>321</v>
      </c>
      <c r="E35" s="16" t="s">
        <v>291</v>
      </c>
      <c r="F35" s="16" t="s">
        <v>402</v>
      </c>
      <c r="G35" s="25" t="s">
        <v>322</v>
      </c>
      <c r="H35" s="25" t="s">
        <v>286</v>
      </c>
      <c r="I35" s="16" t="s">
        <v>299</v>
      </c>
      <c r="J35" s="26">
        <f>COUNTIF('Scenario Register'!$E$9:$E$200,C35)</f>
        <v>2</v>
      </c>
      <c r="K35" s="16"/>
    </row>
    <row r="36" spans="1:11" ht="38.25" x14ac:dyDescent="0.25">
      <c r="A36" s="16" t="s">
        <v>409</v>
      </c>
      <c r="B36" s="16" t="s">
        <v>324</v>
      </c>
      <c r="C36" s="16" t="s">
        <v>410</v>
      </c>
      <c r="D36" s="16" t="s">
        <v>326</v>
      </c>
      <c r="E36" s="16" t="s">
        <v>297</v>
      </c>
      <c r="F36" s="16" t="s">
        <v>411</v>
      </c>
      <c r="G36" s="25" t="s">
        <v>327</v>
      </c>
      <c r="H36" s="25" t="s">
        <v>412</v>
      </c>
      <c r="I36" s="16" t="s">
        <v>81</v>
      </c>
      <c r="J36" s="26">
        <f>COUNTIF('Scenario Register'!$E$9:$E$200,C36)</f>
        <v>2</v>
      </c>
      <c r="K36" s="16"/>
    </row>
    <row r="37" spans="1:11" ht="38.25" x14ac:dyDescent="0.25">
      <c r="A37" s="16" t="s">
        <v>413</v>
      </c>
      <c r="B37" s="16" t="s">
        <v>414</v>
      </c>
      <c r="C37" s="16" t="s">
        <v>415</v>
      </c>
      <c r="D37" s="16" t="s">
        <v>331</v>
      </c>
      <c r="E37" s="16" t="s">
        <v>304</v>
      </c>
      <c r="F37" s="16" t="s">
        <v>411</v>
      </c>
      <c r="G37" s="25" t="s">
        <v>332</v>
      </c>
      <c r="H37" s="25" t="s">
        <v>412</v>
      </c>
      <c r="I37" s="16" t="s">
        <v>79</v>
      </c>
      <c r="J37" s="26">
        <f>COUNTIF('Scenario Register'!$E$9:$E$200,C37)</f>
        <v>2</v>
      </c>
      <c r="K37" s="16"/>
    </row>
    <row r="38" spans="1:11" ht="38.25" x14ac:dyDescent="0.25">
      <c r="A38" s="16" t="s">
        <v>416</v>
      </c>
      <c r="B38" s="16" t="s">
        <v>417</v>
      </c>
      <c r="C38" s="16" t="s">
        <v>418</v>
      </c>
      <c r="D38" s="16" t="s">
        <v>336</v>
      </c>
      <c r="E38" s="16" t="s">
        <v>310</v>
      </c>
      <c r="F38" s="16" t="s">
        <v>411</v>
      </c>
      <c r="G38" s="25" t="s">
        <v>337</v>
      </c>
      <c r="H38" s="25" t="s">
        <v>412</v>
      </c>
      <c r="I38" s="16" t="s">
        <v>343</v>
      </c>
      <c r="J38" s="26">
        <f>COUNTIF('Scenario Register'!$E$9:$E$200,C38)</f>
        <v>2</v>
      </c>
      <c r="K38" s="16"/>
    </row>
  </sheetData>
  <autoFilter ref="A8:K38" xr:uid="{00000000-0009-0000-0000-000009000000}"/>
  <mergeCells count="3">
    <mergeCell ref="A1:K1"/>
    <mergeCell ref="A2:K2"/>
    <mergeCell ref="A4:K6"/>
  </mergeCells>
  <conditionalFormatting sqref="F9:F38">
    <cfRule type="expression" dxfId="87" priority="2">
      <formula>$F9="In Scope"</formula>
    </cfRule>
    <cfRule type="expression" dxfId="86" priority="3">
      <formula>$F9="Partial"</formula>
    </cfRule>
    <cfRule type="expression" dxfId="85" priority="4">
      <formula>$F9="Out of Scope"</formula>
    </cfRule>
  </conditionalFormatting>
  <dataValidations count="3">
    <dataValidation type="list" allowBlank="1" sqref="E9:E38" xr:uid="{00000000-0002-0000-0900-000000000000}">
      <formula1>BusinessAreas</formula1>
      <formula2>0</formula2>
    </dataValidation>
    <dataValidation type="list" allowBlank="1" sqref="F9:F38" xr:uid="{00000000-0002-0000-0900-000001000000}">
      <formula1>ScopeType</formula1>
      <formula2>0</formula2>
    </dataValidation>
    <dataValidation type="list" allowBlank="1" sqref="I9:I38" xr:uid="{00000000-0002-0000-0900-000002000000}">
      <formula1>Owners</formula1>
      <formula2>0</formula2>
    </dataValidation>
  </dataValidations>
  <hyperlinks>
    <hyperlink ref="A3" r:id="rId1" location="'Start%20Here'!A1" xr:uid="{00000000-0004-0000-0900-000000000000}"/>
    <hyperlink ref="B3" r:id="rId2" location="'UAT%20Overview'!A1" xr:uid="{00000000-0004-0000-0900-000001000000}"/>
    <hyperlink ref="C3" r:id="rId3" location="'Executive%20Dashboard'!A1" xr:uid="{00000000-0004-0000-0900-000002000000}"/>
    <hyperlink ref="D3" r:id="rId4" location="'Operational%20Dashboard'!A1" xr:uid="{00000000-0004-0000-0900-000003000000}"/>
    <hyperlink ref="E3" r:id="rId5" location="'Readiness%20Checklist'!A1" xr:uid="{00000000-0004-0000-0900-000004000000}"/>
  </hyperlink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6"/>
  <sheetViews>
    <sheetView zoomScaleNormal="100" workbookViewId="0">
      <pane ySplit="8" topLeftCell="A9" activePane="bottomLeft" state="frozen"/>
      <selection pane="bottomLeft" sqref="A1:O1"/>
    </sheetView>
  </sheetViews>
  <sheetFormatPr defaultColWidth="8.7109375" defaultRowHeight="15" customHeight="1" x14ac:dyDescent="0.25"/>
  <cols>
    <col min="1" max="1" width="12" customWidth="1"/>
    <col min="2" max="4" width="18" customWidth="1"/>
    <col min="5" max="5" width="16" customWidth="1"/>
    <col min="6" max="6" width="26" customWidth="1"/>
    <col min="7" max="7" width="22" customWidth="1"/>
    <col min="8" max="11" width="14" customWidth="1"/>
    <col min="12" max="12" width="10" customWidth="1"/>
    <col min="13" max="14" width="14" customWidth="1"/>
    <col min="15" max="15" width="24" customWidth="1"/>
  </cols>
  <sheetData>
    <row r="1" spans="1:15" ht="25.5" customHeight="1" x14ac:dyDescent="0.25">
      <c r="A1" s="12" t="str">
        <f>'Branding &amp; Setup'!$B$9 &amp; " | Tester Register"</f>
        <v>Northbridge Citizens Services | Tester Register</v>
      </c>
      <c r="B1" s="12"/>
      <c r="C1" s="12"/>
      <c r="D1" s="12"/>
      <c r="E1" s="12"/>
      <c r="F1" s="12"/>
      <c r="G1" s="12"/>
      <c r="H1" s="12"/>
      <c r="I1" s="12"/>
      <c r="J1" s="12"/>
      <c r="K1" s="12"/>
      <c r="L1" s="12"/>
      <c r="M1" s="12"/>
      <c r="N1" s="12"/>
      <c r="O1" s="12"/>
    </row>
    <row r="2" spans="1:15"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c r="O2" s="11"/>
    </row>
    <row r="3" spans="1:15" ht="18" customHeight="1" x14ac:dyDescent="0.25">
      <c r="A3" s="13" t="s">
        <v>0</v>
      </c>
      <c r="B3" s="13" t="s">
        <v>1</v>
      </c>
      <c r="C3" s="13" t="s">
        <v>2</v>
      </c>
      <c r="D3" s="13" t="s">
        <v>3</v>
      </c>
      <c r="E3" s="13" t="s">
        <v>4</v>
      </c>
    </row>
    <row r="4" spans="1:15" ht="18" customHeight="1" x14ac:dyDescent="0.25">
      <c r="A4" s="10" t="s">
        <v>419</v>
      </c>
      <c r="B4" s="10"/>
      <c r="C4" s="10"/>
      <c r="D4" s="10"/>
      <c r="E4" s="10"/>
      <c r="F4" s="10"/>
      <c r="G4" s="10"/>
      <c r="H4" s="10"/>
      <c r="I4" s="10"/>
      <c r="J4" s="10"/>
      <c r="K4" s="10"/>
      <c r="L4" s="10"/>
      <c r="M4" s="10"/>
      <c r="N4" s="10"/>
      <c r="O4" s="10"/>
    </row>
    <row r="5" spans="1:15" ht="18" customHeight="1" x14ac:dyDescent="0.25">
      <c r="A5" s="10"/>
      <c r="B5" s="10"/>
      <c r="C5" s="10"/>
      <c r="D5" s="10"/>
      <c r="E5" s="10"/>
      <c r="F5" s="10"/>
      <c r="G5" s="10"/>
      <c r="H5" s="10"/>
      <c r="I5" s="10"/>
      <c r="J5" s="10"/>
      <c r="K5" s="10"/>
      <c r="L5" s="10"/>
      <c r="M5" s="10"/>
      <c r="N5" s="10"/>
      <c r="O5" s="10"/>
    </row>
    <row r="6" spans="1:15" ht="18" customHeight="1" x14ac:dyDescent="0.25">
      <c r="A6" s="10"/>
      <c r="B6" s="10"/>
      <c r="C6" s="10"/>
      <c r="D6" s="10"/>
      <c r="E6" s="10"/>
      <c r="F6" s="10"/>
      <c r="G6" s="10"/>
      <c r="H6" s="10"/>
      <c r="I6" s="10"/>
      <c r="J6" s="10"/>
      <c r="K6" s="10"/>
      <c r="L6" s="10"/>
      <c r="M6" s="10"/>
      <c r="N6" s="10"/>
      <c r="O6" s="10"/>
    </row>
    <row r="8" spans="1:15" ht="25.5" x14ac:dyDescent="0.25">
      <c r="A8" s="21" t="s">
        <v>420</v>
      </c>
      <c r="B8" s="21" t="s">
        <v>421</v>
      </c>
      <c r="C8" s="21" t="s">
        <v>422</v>
      </c>
      <c r="D8" s="21" t="s">
        <v>275</v>
      </c>
      <c r="E8" s="21" t="s">
        <v>423</v>
      </c>
      <c r="F8" s="21" t="s">
        <v>424</v>
      </c>
      <c r="G8" s="21" t="s">
        <v>425</v>
      </c>
      <c r="H8" s="21" t="s">
        <v>426</v>
      </c>
      <c r="I8" s="21" t="s">
        <v>427</v>
      </c>
      <c r="J8" s="21" t="s">
        <v>428</v>
      </c>
      <c r="K8" s="21" t="s">
        <v>429</v>
      </c>
      <c r="L8" s="21" t="s">
        <v>430</v>
      </c>
      <c r="M8" s="21" t="s">
        <v>431</v>
      </c>
      <c r="N8" s="21" t="s">
        <v>432</v>
      </c>
      <c r="O8" s="21" t="s">
        <v>154</v>
      </c>
    </row>
    <row r="9" spans="1:15" x14ac:dyDescent="0.25">
      <c r="A9" s="16" t="s">
        <v>433</v>
      </c>
      <c r="B9" s="16" t="s">
        <v>81</v>
      </c>
      <c r="C9" s="16" t="s">
        <v>80</v>
      </c>
      <c r="D9" s="16" t="s">
        <v>291</v>
      </c>
      <c r="E9" s="16" t="s">
        <v>434</v>
      </c>
      <c r="F9" s="16" t="s">
        <v>435</v>
      </c>
      <c r="G9" s="16" t="s">
        <v>436</v>
      </c>
      <c r="H9" s="16" t="s">
        <v>437</v>
      </c>
      <c r="I9" s="16" t="s">
        <v>438</v>
      </c>
      <c r="J9" s="19">
        <v>8</v>
      </c>
      <c r="K9" s="26">
        <f>COUNTIF('Execution Tracker'!$D$9:$D$400,B9)</f>
        <v>5</v>
      </c>
      <c r="L9" s="16" t="s">
        <v>438</v>
      </c>
      <c r="M9" s="26">
        <f t="shared" ref="M9:M26" si="0">ROUND(((IF(H9="Yes",1,0)+IF(I9="Yes",1,0)+IF(L9="Yes",1,0)+MIN(IF(J9=0,1,K9/J9),1))/4)*100,0)</f>
        <v>66</v>
      </c>
      <c r="N9" s="27" t="str">
        <f t="shared" ref="N9:N26" si="1">IF(M9&gt;=75,"Yes","No")</f>
        <v>No</v>
      </c>
      <c r="O9" s="16"/>
    </row>
    <row r="10" spans="1:15" x14ac:dyDescent="0.25">
      <c r="A10" s="16" t="s">
        <v>439</v>
      </c>
      <c r="B10" s="16" t="s">
        <v>269</v>
      </c>
      <c r="C10" s="16" t="s">
        <v>126</v>
      </c>
      <c r="D10" s="16" t="s">
        <v>283</v>
      </c>
      <c r="E10" s="16" t="s">
        <v>434</v>
      </c>
      <c r="F10" s="16" t="s">
        <v>440</v>
      </c>
      <c r="G10" s="16" t="s">
        <v>436</v>
      </c>
      <c r="H10" s="16" t="s">
        <v>438</v>
      </c>
      <c r="I10" s="16" t="s">
        <v>438</v>
      </c>
      <c r="J10" s="19">
        <v>10</v>
      </c>
      <c r="K10" s="26">
        <f>COUNTIF('Execution Tracker'!$D$9:$D$400,B10)</f>
        <v>5</v>
      </c>
      <c r="L10" s="16" t="s">
        <v>438</v>
      </c>
      <c r="M10" s="26">
        <f t="shared" si="0"/>
        <v>88</v>
      </c>
      <c r="N10" s="27" t="str">
        <f t="shared" si="1"/>
        <v>Yes</v>
      </c>
      <c r="O10" s="16"/>
    </row>
    <row r="11" spans="1:15" x14ac:dyDescent="0.25">
      <c r="A11" s="16" t="s">
        <v>441</v>
      </c>
      <c r="B11" s="16" t="s">
        <v>79</v>
      </c>
      <c r="C11" s="16" t="s">
        <v>442</v>
      </c>
      <c r="D11" s="16" t="s">
        <v>291</v>
      </c>
      <c r="E11" s="16" t="s">
        <v>443</v>
      </c>
      <c r="F11" s="16" t="s">
        <v>444</v>
      </c>
      <c r="G11" s="16" t="s">
        <v>436</v>
      </c>
      <c r="H11" s="16" t="s">
        <v>437</v>
      </c>
      <c r="I11" s="16" t="s">
        <v>438</v>
      </c>
      <c r="J11" s="19">
        <v>6</v>
      </c>
      <c r="K11" s="26">
        <f>COUNTIF('Execution Tracker'!$D$9:$D$400,B11)</f>
        <v>14</v>
      </c>
      <c r="L11" s="16" t="s">
        <v>438</v>
      </c>
      <c r="M11" s="26">
        <f t="shared" si="0"/>
        <v>75</v>
      </c>
      <c r="N11" s="27" t="str">
        <f t="shared" si="1"/>
        <v>Yes</v>
      </c>
      <c r="O11" s="16"/>
    </row>
    <row r="12" spans="1:15" x14ac:dyDescent="0.25">
      <c r="A12" s="16" t="s">
        <v>445</v>
      </c>
      <c r="B12" s="16" t="s">
        <v>446</v>
      </c>
      <c r="C12" s="16" t="s">
        <v>447</v>
      </c>
      <c r="D12" s="16" t="s">
        <v>297</v>
      </c>
      <c r="E12" s="16" t="s">
        <v>447</v>
      </c>
      <c r="F12" s="16" t="s">
        <v>448</v>
      </c>
      <c r="G12" s="16" t="s">
        <v>449</v>
      </c>
      <c r="H12" s="16" t="s">
        <v>438</v>
      </c>
      <c r="I12" s="16" t="s">
        <v>438</v>
      </c>
      <c r="J12" s="19">
        <v>8</v>
      </c>
      <c r="K12" s="26">
        <f>COUNTIF('Execution Tracker'!$D$9:$D$400,B12)</f>
        <v>6</v>
      </c>
      <c r="L12" s="16" t="s">
        <v>438</v>
      </c>
      <c r="M12" s="26">
        <f t="shared" si="0"/>
        <v>94</v>
      </c>
      <c r="N12" s="27" t="str">
        <f t="shared" si="1"/>
        <v>Yes</v>
      </c>
      <c r="O12" s="16"/>
    </row>
    <row r="13" spans="1:15" x14ac:dyDescent="0.25">
      <c r="A13" s="16" t="s">
        <v>450</v>
      </c>
      <c r="B13" s="16" t="s">
        <v>299</v>
      </c>
      <c r="C13" s="16" t="s">
        <v>443</v>
      </c>
      <c r="D13" s="16" t="s">
        <v>304</v>
      </c>
      <c r="E13" s="16" t="s">
        <v>443</v>
      </c>
      <c r="F13" s="16" t="s">
        <v>451</v>
      </c>
      <c r="G13" s="16" t="s">
        <v>449</v>
      </c>
      <c r="H13" s="16" t="s">
        <v>438</v>
      </c>
      <c r="I13" s="16" t="s">
        <v>438</v>
      </c>
      <c r="J13" s="19">
        <v>7</v>
      </c>
      <c r="K13" s="26">
        <f>COUNTIF('Execution Tracker'!$D$9:$D$400,B13)</f>
        <v>0</v>
      </c>
      <c r="L13" s="16" t="s">
        <v>438</v>
      </c>
      <c r="M13" s="26">
        <f t="shared" si="0"/>
        <v>75</v>
      </c>
      <c r="N13" s="27" t="str">
        <f t="shared" si="1"/>
        <v>Yes</v>
      </c>
      <c r="O13" s="16"/>
    </row>
    <row r="14" spans="1:15" x14ac:dyDescent="0.25">
      <c r="A14" s="16" t="s">
        <v>452</v>
      </c>
      <c r="B14" s="16" t="s">
        <v>343</v>
      </c>
      <c r="C14" s="16" t="s">
        <v>453</v>
      </c>
      <c r="D14" s="16" t="s">
        <v>283</v>
      </c>
      <c r="E14" s="16" t="s">
        <v>447</v>
      </c>
      <c r="F14" s="16" t="s">
        <v>454</v>
      </c>
      <c r="G14" s="16" t="s">
        <v>436</v>
      </c>
      <c r="H14" s="16" t="s">
        <v>437</v>
      </c>
      <c r="I14" s="16" t="s">
        <v>438</v>
      </c>
      <c r="J14" s="19">
        <v>8</v>
      </c>
      <c r="K14" s="26">
        <f>COUNTIF('Execution Tracker'!$D$9:$D$400,B14)</f>
        <v>7</v>
      </c>
      <c r="L14" s="16" t="s">
        <v>438</v>
      </c>
      <c r="M14" s="26">
        <f t="shared" si="0"/>
        <v>72</v>
      </c>
      <c r="N14" s="27" t="str">
        <f t="shared" si="1"/>
        <v>No</v>
      </c>
      <c r="O14" s="16"/>
    </row>
    <row r="15" spans="1:15" ht="25.5" x14ac:dyDescent="0.25">
      <c r="A15" s="16" t="s">
        <v>455</v>
      </c>
      <c r="B15" s="16" t="s">
        <v>456</v>
      </c>
      <c r="C15" s="16" t="s">
        <v>126</v>
      </c>
      <c r="D15" s="16" t="s">
        <v>310</v>
      </c>
      <c r="E15" s="16" t="s">
        <v>434</v>
      </c>
      <c r="F15" s="16" t="s">
        <v>457</v>
      </c>
      <c r="G15" s="16" t="s">
        <v>458</v>
      </c>
      <c r="H15" s="16" t="s">
        <v>438</v>
      </c>
      <c r="I15" s="16" t="s">
        <v>438</v>
      </c>
      <c r="J15" s="19">
        <v>5</v>
      </c>
      <c r="K15" s="26">
        <f>COUNTIF('Execution Tracker'!$D$9:$D$400,B15)</f>
        <v>13</v>
      </c>
      <c r="L15" s="16" t="s">
        <v>438</v>
      </c>
      <c r="M15" s="26">
        <f t="shared" si="0"/>
        <v>100</v>
      </c>
      <c r="N15" s="27" t="str">
        <f t="shared" si="1"/>
        <v>Yes</v>
      </c>
      <c r="O15" s="16"/>
    </row>
    <row r="16" spans="1:15" x14ac:dyDescent="0.25">
      <c r="A16" s="16" t="s">
        <v>459</v>
      </c>
      <c r="B16" s="16" t="s">
        <v>460</v>
      </c>
      <c r="C16" s="16" t="s">
        <v>447</v>
      </c>
      <c r="D16" s="16" t="s">
        <v>304</v>
      </c>
      <c r="E16" s="16" t="s">
        <v>447</v>
      </c>
      <c r="F16" s="16" t="s">
        <v>461</v>
      </c>
      <c r="G16" s="16" t="s">
        <v>449</v>
      </c>
      <c r="H16" s="16" t="s">
        <v>437</v>
      </c>
      <c r="I16" s="16" t="s">
        <v>438</v>
      </c>
      <c r="J16" s="19">
        <v>10</v>
      </c>
      <c r="K16" s="26">
        <f>COUNTIF('Execution Tracker'!$D$9:$D$400,B16)</f>
        <v>15</v>
      </c>
      <c r="L16" s="16" t="s">
        <v>438</v>
      </c>
      <c r="M16" s="26">
        <f t="shared" si="0"/>
        <v>75</v>
      </c>
      <c r="N16" s="27" t="str">
        <f t="shared" si="1"/>
        <v>Yes</v>
      </c>
      <c r="O16" s="16"/>
    </row>
    <row r="17" spans="1:15" x14ac:dyDescent="0.25">
      <c r="A17" s="16" t="s">
        <v>462</v>
      </c>
      <c r="B17" s="16" t="s">
        <v>258</v>
      </c>
      <c r="C17" s="16" t="s">
        <v>463</v>
      </c>
      <c r="D17" s="16" t="s">
        <v>291</v>
      </c>
      <c r="E17" s="16" t="s">
        <v>464</v>
      </c>
      <c r="F17" s="16" t="s">
        <v>465</v>
      </c>
      <c r="G17" s="16" t="s">
        <v>436</v>
      </c>
      <c r="H17" s="16" t="s">
        <v>438</v>
      </c>
      <c r="I17" s="16" t="s">
        <v>438</v>
      </c>
      <c r="J17" s="19">
        <v>2</v>
      </c>
      <c r="K17" s="26">
        <f>COUNTIF('Execution Tracker'!$D$9:$D$400,B17)</f>
        <v>0</v>
      </c>
      <c r="L17" s="16" t="s">
        <v>437</v>
      </c>
      <c r="M17" s="26">
        <f t="shared" si="0"/>
        <v>50</v>
      </c>
      <c r="N17" s="27" t="str">
        <f t="shared" si="1"/>
        <v>No</v>
      </c>
      <c r="O17" s="16" t="s">
        <v>466</v>
      </c>
    </row>
    <row r="18" spans="1:15" ht="25.5" x14ac:dyDescent="0.25">
      <c r="A18" s="16" t="s">
        <v>467</v>
      </c>
      <c r="B18" s="16" t="s">
        <v>241</v>
      </c>
      <c r="C18" s="16" t="s">
        <v>468</v>
      </c>
      <c r="D18" s="16" t="s">
        <v>310</v>
      </c>
      <c r="E18" s="16" t="s">
        <v>464</v>
      </c>
      <c r="F18" s="16" t="s">
        <v>469</v>
      </c>
      <c r="G18" s="16" t="s">
        <v>458</v>
      </c>
      <c r="H18" s="16" t="s">
        <v>438</v>
      </c>
      <c r="I18" s="16" t="s">
        <v>438</v>
      </c>
      <c r="J18" s="19">
        <v>6</v>
      </c>
      <c r="K18" s="26">
        <f>COUNTIF('Execution Tracker'!$D$9:$D$400,B18)</f>
        <v>0</v>
      </c>
      <c r="L18" s="16" t="s">
        <v>438</v>
      </c>
      <c r="M18" s="26">
        <f t="shared" si="0"/>
        <v>75</v>
      </c>
      <c r="N18" s="27" t="str">
        <f t="shared" si="1"/>
        <v>Yes</v>
      </c>
      <c r="O18" s="16"/>
    </row>
    <row r="19" spans="1:15" x14ac:dyDescent="0.25">
      <c r="A19" s="16" t="s">
        <v>470</v>
      </c>
      <c r="B19" s="16" t="s">
        <v>252</v>
      </c>
      <c r="C19" s="16" t="s">
        <v>471</v>
      </c>
      <c r="D19" s="16" t="s">
        <v>297</v>
      </c>
      <c r="E19" s="16" t="s">
        <v>434</v>
      </c>
      <c r="F19" s="16" t="s">
        <v>472</v>
      </c>
      <c r="G19" s="16" t="s">
        <v>449</v>
      </c>
      <c r="H19" s="16" t="s">
        <v>438</v>
      </c>
      <c r="I19" s="16" t="s">
        <v>438</v>
      </c>
      <c r="J19" s="19">
        <v>5</v>
      </c>
      <c r="K19" s="26">
        <f>COUNTIF('Execution Tracker'!$D$9:$D$400,B19)</f>
        <v>23</v>
      </c>
      <c r="L19" s="16" t="s">
        <v>438</v>
      </c>
      <c r="M19" s="26">
        <f t="shared" si="0"/>
        <v>100</v>
      </c>
      <c r="N19" s="27" t="str">
        <f t="shared" si="1"/>
        <v>Yes</v>
      </c>
      <c r="O19" s="16"/>
    </row>
    <row r="20" spans="1:15" x14ac:dyDescent="0.25">
      <c r="A20" s="16" t="s">
        <v>473</v>
      </c>
      <c r="B20" s="16" t="s">
        <v>243</v>
      </c>
      <c r="C20" s="16" t="s">
        <v>126</v>
      </c>
      <c r="D20" s="16" t="s">
        <v>297</v>
      </c>
      <c r="E20" s="16" t="s">
        <v>443</v>
      </c>
      <c r="F20" s="16" t="s">
        <v>474</v>
      </c>
      <c r="G20" s="16" t="s">
        <v>449</v>
      </c>
      <c r="H20" s="16" t="s">
        <v>438</v>
      </c>
      <c r="I20" s="16" t="s">
        <v>438</v>
      </c>
      <c r="J20" s="19">
        <v>4</v>
      </c>
      <c r="K20" s="26">
        <f>COUNTIF('Execution Tracker'!$D$9:$D$400,B20)</f>
        <v>11</v>
      </c>
      <c r="L20" s="16" t="s">
        <v>438</v>
      </c>
      <c r="M20" s="26">
        <f t="shared" si="0"/>
        <v>100</v>
      </c>
      <c r="N20" s="27" t="str">
        <f t="shared" si="1"/>
        <v>Yes</v>
      </c>
      <c r="O20" s="16"/>
    </row>
    <row r="21" spans="1:15" x14ac:dyDescent="0.25">
      <c r="A21" s="16" t="s">
        <v>475</v>
      </c>
      <c r="B21" s="16" t="s">
        <v>476</v>
      </c>
      <c r="C21" s="16" t="s">
        <v>447</v>
      </c>
      <c r="D21" s="16" t="s">
        <v>283</v>
      </c>
      <c r="E21" s="16" t="s">
        <v>447</v>
      </c>
      <c r="F21" s="16" t="s">
        <v>477</v>
      </c>
      <c r="G21" s="16" t="s">
        <v>436</v>
      </c>
      <c r="H21" s="16" t="s">
        <v>438</v>
      </c>
      <c r="I21" s="16" t="s">
        <v>438</v>
      </c>
      <c r="J21" s="19">
        <v>7</v>
      </c>
      <c r="K21" s="26">
        <f>COUNTIF('Execution Tracker'!$D$9:$D$400,B21)</f>
        <v>12</v>
      </c>
      <c r="L21" s="16" t="s">
        <v>438</v>
      </c>
      <c r="M21" s="26">
        <f t="shared" si="0"/>
        <v>100</v>
      </c>
      <c r="N21" s="27" t="str">
        <f t="shared" si="1"/>
        <v>Yes</v>
      </c>
      <c r="O21" s="16"/>
    </row>
    <row r="22" spans="1:15" x14ac:dyDescent="0.25">
      <c r="A22" s="16" t="s">
        <v>478</v>
      </c>
      <c r="B22" s="16" t="s">
        <v>231</v>
      </c>
      <c r="C22" s="16" t="s">
        <v>442</v>
      </c>
      <c r="D22" s="16" t="s">
        <v>304</v>
      </c>
      <c r="E22" s="16" t="s">
        <v>443</v>
      </c>
      <c r="F22" s="16" t="s">
        <v>479</v>
      </c>
      <c r="G22" s="16" t="s">
        <v>449</v>
      </c>
      <c r="H22" s="16" t="s">
        <v>438</v>
      </c>
      <c r="I22" s="16" t="s">
        <v>438</v>
      </c>
      <c r="J22" s="19">
        <v>6</v>
      </c>
      <c r="K22" s="26">
        <f>COUNTIF('Execution Tracker'!$D$9:$D$400,B22)</f>
        <v>0</v>
      </c>
      <c r="L22" s="16" t="s">
        <v>438</v>
      </c>
      <c r="M22" s="26">
        <f t="shared" si="0"/>
        <v>75</v>
      </c>
      <c r="N22" s="27" t="str">
        <f t="shared" si="1"/>
        <v>Yes</v>
      </c>
      <c r="O22" s="16"/>
    </row>
    <row r="23" spans="1:15" x14ac:dyDescent="0.25">
      <c r="A23" s="16" t="s">
        <v>480</v>
      </c>
      <c r="B23" s="16" t="s">
        <v>481</v>
      </c>
      <c r="C23" s="16" t="s">
        <v>434</v>
      </c>
      <c r="D23" s="16" t="s">
        <v>291</v>
      </c>
      <c r="E23" s="16" t="s">
        <v>434</v>
      </c>
      <c r="F23" s="16" t="s">
        <v>482</v>
      </c>
      <c r="G23" s="16" t="s">
        <v>436</v>
      </c>
      <c r="H23" s="16" t="s">
        <v>438</v>
      </c>
      <c r="I23" s="16" t="s">
        <v>438</v>
      </c>
      <c r="J23" s="19">
        <v>8</v>
      </c>
      <c r="K23" s="26">
        <f>COUNTIF('Execution Tracker'!$D$9:$D$400,B23)</f>
        <v>5</v>
      </c>
      <c r="L23" s="16" t="s">
        <v>438</v>
      </c>
      <c r="M23" s="26">
        <f t="shared" si="0"/>
        <v>91</v>
      </c>
      <c r="N23" s="27" t="str">
        <f t="shared" si="1"/>
        <v>Yes</v>
      </c>
      <c r="O23" s="16"/>
    </row>
    <row r="24" spans="1:15" ht="25.5" x14ac:dyDescent="0.25">
      <c r="A24" s="16" t="s">
        <v>483</v>
      </c>
      <c r="B24" s="16" t="s">
        <v>484</v>
      </c>
      <c r="C24" s="16" t="s">
        <v>464</v>
      </c>
      <c r="D24" s="16" t="s">
        <v>310</v>
      </c>
      <c r="E24" s="16" t="s">
        <v>464</v>
      </c>
      <c r="F24" s="16" t="s">
        <v>485</v>
      </c>
      <c r="G24" s="16" t="s">
        <v>458</v>
      </c>
      <c r="H24" s="16" t="s">
        <v>438</v>
      </c>
      <c r="I24" s="16" t="s">
        <v>437</v>
      </c>
      <c r="J24" s="19">
        <v>5</v>
      </c>
      <c r="K24" s="26">
        <f>COUNTIF('Execution Tracker'!$D$9:$D$400,B24)</f>
        <v>20</v>
      </c>
      <c r="L24" s="16" t="s">
        <v>438</v>
      </c>
      <c r="M24" s="26">
        <f t="shared" si="0"/>
        <v>75</v>
      </c>
      <c r="N24" s="27" t="str">
        <f t="shared" si="1"/>
        <v>Yes</v>
      </c>
      <c r="O24" s="16"/>
    </row>
    <row r="25" spans="1:15" x14ac:dyDescent="0.25">
      <c r="A25" s="16" t="s">
        <v>486</v>
      </c>
      <c r="B25" s="16" t="s">
        <v>487</v>
      </c>
      <c r="C25" s="16" t="s">
        <v>464</v>
      </c>
      <c r="D25" s="16" t="s">
        <v>283</v>
      </c>
      <c r="E25" s="16" t="s">
        <v>464</v>
      </c>
      <c r="F25" s="16" t="s">
        <v>488</v>
      </c>
      <c r="G25" s="16" t="s">
        <v>436</v>
      </c>
      <c r="H25" s="16" t="s">
        <v>438</v>
      </c>
      <c r="I25" s="16" t="s">
        <v>438</v>
      </c>
      <c r="J25" s="19">
        <v>9</v>
      </c>
      <c r="K25" s="26">
        <f>COUNTIF('Execution Tracker'!$D$9:$D$400,B25)</f>
        <v>10</v>
      </c>
      <c r="L25" s="16" t="s">
        <v>438</v>
      </c>
      <c r="M25" s="26">
        <f t="shared" si="0"/>
        <v>100</v>
      </c>
      <c r="N25" s="27" t="str">
        <f t="shared" si="1"/>
        <v>Yes</v>
      </c>
      <c r="O25" s="16"/>
    </row>
    <row r="26" spans="1:15" x14ac:dyDescent="0.25">
      <c r="A26" s="16" t="s">
        <v>489</v>
      </c>
      <c r="B26" s="16" t="s">
        <v>490</v>
      </c>
      <c r="C26" s="16" t="s">
        <v>464</v>
      </c>
      <c r="D26" s="16" t="s">
        <v>297</v>
      </c>
      <c r="E26" s="16" t="s">
        <v>464</v>
      </c>
      <c r="F26" s="16" t="s">
        <v>491</v>
      </c>
      <c r="G26" s="16" t="s">
        <v>449</v>
      </c>
      <c r="H26" s="16" t="s">
        <v>438</v>
      </c>
      <c r="I26" s="16" t="s">
        <v>438</v>
      </c>
      <c r="J26" s="19">
        <v>7</v>
      </c>
      <c r="K26" s="26">
        <f>COUNTIF('Execution Tracker'!$D$9:$D$400,B26)</f>
        <v>4</v>
      </c>
      <c r="L26" s="16" t="s">
        <v>438</v>
      </c>
      <c r="M26" s="26">
        <f t="shared" si="0"/>
        <v>89</v>
      </c>
      <c r="N26" s="27" t="str">
        <f t="shared" si="1"/>
        <v>Yes</v>
      </c>
      <c r="O26" s="16"/>
    </row>
  </sheetData>
  <autoFilter ref="A8:O26" xr:uid="{00000000-0009-0000-0000-00000A000000}"/>
  <mergeCells count="3">
    <mergeCell ref="A1:O1"/>
    <mergeCell ref="A2:O2"/>
    <mergeCell ref="A4:O6"/>
  </mergeCells>
  <conditionalFormatting sqref="H9:H26">
    <cfRule type="expression" dxfId="84" priority="2">
      <formula>$H9="Yes"</formula>
    </cfRule>
    <cfRule type="expression" dxfId="83" priority="3">
      <formula>$H9="No"</formula>
    </cfRule>
  </conditionalFormatting>
  <conditionalFormatting sqref="I9:I26">
    <cfRule type="expression" dxfId="82" priority="4">
      <formula>$I9="Yes"</formula>
    </cfRule>
    <cfRule type="expression" dxfId="81" priority="5">
      <formula>$I9="No"</formula>
    </cfRule>
  </conditionalFormatting>
  <conditionalFormatting sqref="L9:L26">
    <cfRule type="expression" dxfId="80" priority="6">
      <formula>$L9="Yes"</formula>
    </cfRule>
    <cfRule type="expression" dxfId="79" priority="7">
      <formula>$L9="No"</formula>
    </cfRule>
  </conditionalFormatting>
  <conditionalFormatting sqref="M9:M26">
    <cfRule type="dataBar" priority="10">
      <dataBar>
        <cfvo type="num" val="0"/>
        <cfvo type="num" val="100"/>
        <color rgb="FF2563EB"/>
      </dataBar>
      <extLst>
        <ext xmlns:x14="http://schemas.microsoft.com/office/spreadsheetml/2009/9/main" uri="{B025F937-C7B1-47D3-B67F-A62EFF666E3E}">
          <x14:id>{52BD4647-6D8A-4EDD-943B-331B72B75FB5}</x14:id>
        </ext>
      </extLst>
    </cfRule>
  </conditionalFormatting>
  <conditionalFormatting sqref="N9:N26">
    <cfRule type="expression" dxfId="78" priority="8">
      <formula>$N9="Yes"</formula>
    </cfRule>
    <cfRule type="expression" dxfId="77" priority="9">
      <formula>$N9="No"</formula>
    </cfRule>
  </conditionalFormatting>
  <dataValidations count="5">
    <dataValidation type="list" allowBlank="1" sqref="D9:D26" xr:uid="{00000000-0002-0000-0A00-000000000000}">
      <formula1>BusinessAreas</formula1>
      <formula2>0</formula2>
    </dataValidation>
    <dataValidation type="list" allowBlank="1" sqref="L9:L26 H9:I26" xr:uid="{00000000-0002-0000-0A00-000001000000}">
      <formula1>YesNo</formula1>
      <formula2>0</formula2>
    </dataValidation>
    <dataValidation type="list" allowBlank="1" sqref="C9:C26" xr:uid="{00000000-0002-0000-0A00-000002000000}">
      <formula1>Roles</formula1>
      <formula2>0</formula2>
    </dataValidation>
    <dataValidation type="list" allowBlank="1" sqref="E9:E26" xr:uid="{00000000-0002-0000-0A00-000003000000}">
      <formula1>TesterTypes</formula1>
      <formula2>0</formula2>
    </dataValidation>
    <dataValidation type="list" allowBlank="1" sqref="G9:G26" xr:uid="{00000000-0002-0000-0A00-000004000000}">
      <formula1>Waves</formula1>
      <formula2>0</formula2>
    </dataValidation>
  </dataValidations>
  <hyperlinks>
    <hyperlink ref="A3" r:id="rId1" location="'Start%20Here'!A1" xr:uid="{00000000-0004-0000-0A00-000000000000}"/>
    <hyperlink ref="B3" r:id="rId2" location="'UAT%20Overview'!A1" xr:uid="{00000000-0004-0000-0A00-000001000000}"/>
    <hyperlink ref="C3" r:id="rId3" location="'Executive%20Dashboard'!A1" xr:uid="{00000000-0004-0000-0A00-000002000000}"/>
    <hyperlink ref="D3" r:id="rId4" location="'Operational%20Dashboard'!A1" xr:uid="{00000000-0004-0000-0A00-000003000000}"/>
    <hyperlink ref="E3" r:id="rId5" location="'Readiness%20Checklist'!A1" xr:uid="{00000000-0004-0000-0A00-000004000000}"/>
  </hyperlinks>
  <pageMargins left="0.75" right="0.75" top="1" bottom="1" header="0.511811023622047" footer="0.511811023622047"/>
  <pageSetup paperSize="9" orientation="portrait" horizontalDpi="300" verticalDpi="300"/>
  <extLst>
    <ext xmlns:x14="http://schemas.microsoft.com/office/spreadsheetml/2009/9/main" uri="{78C0D931-6437-407d-A8EE-F0AAD7539E65}">
      <x14:conditionalFormattings>
        <x14:conditionalFormatting xmlns:xm="http://schemas.microsoft.com/office/excel/2006/main">
          <x14:cfRule type="dataBar" id="{52BD4647-6D8A-4EDD-943B-331B72B75FB5}">
            <x14:dataBar axisPosition="none">
              <x14:cfvo type="num">
                <xm:f>0</xm:f>
              </x14:cfvo>
              <x14:cfvo type="num">
                <xm:f>100</xm:f>
              </x14:cfvo>
              <x14:negativeFillColor rgb="FF2563EB"/>
            </x14:dataBar>
          </x14:cfRule>
          <xm:sqref>M9:M26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3"/>
  <sheetViews>
    <sheetView zoomScaleNormal="100" workbookViewId="0">
      <pane ySplit="8" topLeftCell="A9" activePane="bottomLeft" state="frozen"/>
      <selection pane="bottomLeft" sqref="A1:M1"/>
    </sheetView>
  </sheetViews>
  <sheetFormatPr defaultColWidth="8.7109375" defaultRowHeight="15" customHeight="1" x14ac:dyDescent="0.25"/>
  <cols>
    <col min="1" max="1" width="12" customWidth="1"/>
    <col min="2" max="2" width="14" customWidth="1"/>
    <col min="3" max="3" width="28" customWidth="1"/>
    <col min="4" max="5" width="18" customWidth="1"/>
    <col min="6" max="8" width="14" customWidth="1"/>
    <col min="9" max="10" width="10" customWidth="1"/>
    <col min="11" max="11" width="20" customWidth="1"/>
    <col min="12" max="12" width="24" customWidth="1"/>
    <col min="13" max="13" width="12" customWidth="1"/>
  </cols>
  <sheetData>
    <row r="1" spans="1:13" ht="25.5" customHeight="1" x14ac:dyDescent="0.25">
      <c r="A1" s="12" t="str">
        <f>'Branding &amp; Setup'!$B$9 &amp; " | Env Access &amp; Data"</f>
        <v>Northbridge Citizens Services | Env Access &amp; Data</v>
      </c>
      <c r="B1" s="12"/>
      <c r="C1" s="12"/>
      <c r="D1" s="12"/>
      <c r="E1" s="12"/>
      <c r="F1" s="12"/>
      <c r="G1" s="12"/>
      <c r="H1" s="12"/>
      <c r="I1" s="12"/>
      <c r="J1" s="12"/>
      <c r="K1" s="12"/>
      <c r="L1" s="12"/>
      <c r="M1" s="12"/>
    </row>
    <row r="2" spans="1:13"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row>
    <row r="3" spans="1:13" ht="18" customHeight="1" x14ac:dyDescent="0.25">
      <c r="A3" s="13" t="s">
        <v>0</v>
      </c>
      <c r="B3" s="13" t="s">
        <v>1</v>
      </c>
      <c r="C3" s="13" t="s">
        <v>2</v>
      </c>
      <c r="D3" s="13" t="s">
        <v>3</v>
      </c>
      <c r="E3" s="13" t="s">
        <v>4</v>
      </c>
    </row>
    <row r="4" spans="1:13" ht="18" customHeight="1" x14ac:dyDescent="0.25">
      <c r="A4" s="10" t="s">
        <v>492</v>
      </c>
      <c r="B4" s="10"/>
      <c r="C4" s="10"/>
      <c r="D4" s="10"/>
      <c r="E4" s="10"/>
      <c r="F4" s="10"/>
      <c r="G4" s="10"/>
      <c r="H4" s="10"/>
      <c r="I4" s="10"/>
      <c r="J4" s="10"/>
      <c r="K4" s="10"/>
      <c r="L4" s="10"/>
      <c r="M4" s="10"/>
    </row>
    <row r="5" spans="1:13" ht="18" customHeight="1" x14ac:dyDescent="0.25">
      <c r="A5" s="10"/>
      <c r="B5" s="10"/>
      <c r="C5" s="10"/>
      <c r="D5" s="10"/>
      <c r="E5" s="10"/>
      <c r="F5" s="10"/>
      <c r="G5" s="10"/>
      <c r="H5" s="10"/>
      <c r="I5" s="10"/>
      <c r="J5" s="10"/>
      <c r="K5" s="10"/>
      <c r="L5" s="10"/>
      <c r="M5" s="10"/>
    </row>
    <row r="6" spans="1:13" ht="18" customHeight="1" x14ac:dyDescent="0.25">
      <c r="A6" s="10"/>
      <c r="B6" s="10"/>
      <c r="C6" s="10"/>
      <c r="D6" s="10"/>
      <c r="E6" s="10"/>
      <c r="F6" s="10"/>
      <c r="G6" s="10"/>
      <c r="H6" s="10"/>
      <c r="I6" s="10"/>
      <c r="J6" s="10"/>
      <c r="K6" s="10"/>
      <c r="L6" s="10"/>
      <c r="M6" s="10"/>
    </row>
    <row r="8" spans="1:13" ht="25.5" x14ac:dyDescent="0.25">
      <c r="A8" s="21" t="s">
        <v>493</v>
      </c>
      <c r="B8" s="21" t="s">
        <v>494</v>
      </c>
      <c r="C8" s="21" t="s">
        <v>495</v>
      </c>
      <c r="D8" s="21" t="s">
        <v>275</v>
      </c>
      <c r="E8" s="21" t="s">
        <v>226</v>
      </c>
      <c r="F8" s="21" t="s">
        <v>496</v>
      </c>
      <c r="G8" s="21" t="s">
        <v>497</v>
      </c>
      <c r="H8" s="21" t="s">
        <v>151</v>
      </c>
      <c r="I8" s="21" t="s">
        <v>498</v>
      </c>
      <c r="J8" s="21" t="s">
        <v>499</v>
      </c>
      <c r="K8" s="21" t="s">
        <v>500</v>
      </c>
      <c r="L8" s="21" t="s">
        <v>154</v>
      </c>
      <c r="M8" s="21" t="s">
        <v>501</v>
      </c>
    </row>
    <row r="9" spans="1:13" ht="25.5" x14ac:dyDescent="0.25">
      <c r="A9" s="16" t="s">
        <v>502</v>
      </c>
      <c r="B9" s="16" t="s">
        <v>168</v>
      </c>
      <c r="C9" s="16" t="s">
        <v>503</v>
      </c>
      <c r="D9" s="16" t="s">
        <v>304</v>
      </c>
      <c r="E9" s="16" t="s">
        <v>241</v>
      </c>
      <c r="F9" s="17">
        <v>46077</v>
      </c>
      <c r="G9" s="17">
        <v>46078</v>
      </c>
      <c r="H9" s="16" t="s">
        <v>232</v>
      </c>
      <c r="I9" s="16" t="s">
        <v>437</v>
      </c>
      <c r="J9" s="16" t="s">
        <v>504</v>
      </c>
      <c r="K9" s="16" t="s">
        <v>505</v>
      </c>
      <c r="L9" s="16"/>
      <c r="M9" s="27" t="str">
        <f>IF(AND(H9&lt;&gt;"Complete",'Branding &amp; Setup'!$B$12&gt;F9),"Yes","No")</f>
        <v>No</v>
      </c>
    </row>
    <row r="10" spans="1:13" ht="25.5" x14ac:dyDescent="0.25">
      <c r="A10" s="16" t="s">
        <v>506</v>
      </c>
      <c r="B10" s="16" t="s">
        <v>168</v>
      </c>
      <c r="C10" s="16" t="s">
        <v>507</v>
      </c>
      <c r="D10" s="16" t="s">
        <v>297</v>
      </c>
      <c r="E10" s="16" t="s">
        <v>79</v>
      </c>
      <c r="F10" s="17">
        <v>46080</v>
      </c>
      <c r="G10" s="16"/>
      <c r="H10" s="16" t="s">
        <v>266</v>
      </c>
      <c r="I10" s="16" t="s">
        <v>437</v>
      </c>
      <c r="J10" s="16" t="s">
        <v>508</v>
      </c>
      <c r="K10" s="16" t="s">
        <v>505</v>
      </c>
      <c r="L10" s="16"/>
      <c r="M10" s="27" t="str">
        <f>IF(AND(H10&lt;&gt;"Complete",'Branding &amp; Setup'!$B$12&gt;F10),"Yes","No")</f>
        <v>Yes</v>
      </c>
    </row>
    <row r="11" spans="1:13" ht="25.5" x14ac:dyDescent="0.25">
      <c r="A11" s="16" t="s">
        <v>509</v>
      </c>
      <c r="B11" s="16" t="s">
        <v>168</v>
      </c>
      <c r="C11" s="16" t="s">
        <v>510</v>
      </c>
      <c r="D11" s="16" t="s">
        <v>297</v>
      </c>
      <c r="E11" s="16" t="s">
        <v>269</v>
      </c>
      <c r="F11" s="17">
        <v>46083</v>
      </c>
      <c r="G11" s="16"/>
      <c r="H11" s="16" t="s">
        <v>197</v>
      </c>
      <c r="I11" s="16" t="s">
        <v>438</v>
      </c>
      <c r="J11" s="16" t="s">
        <v>504</v>
      </c>
      <c r="K11" s="16" t="s">
        <v>505</v>
      </c>
      <c r="L11" s="16"/>
      <c r="M11" s="27" t="str">
        <f>IF(AND(H11&lt;&gt;"Complete",'Branding &amp; Setup'!$B$12&gt;F11),"Yes","No")</f>
        <v>Yes</v>
      </c>
    </row>
    <row r="12" spans="1:13" x14ac:dyDescent="0.25">
      <c r="A12" s="16" t="s">
        <v>511</v>
      </c>
      <c r="B12" s="16" t="s">
        <v>168</v>
      </c>
      <c r="C12" s="16" t="s">
        <v>512</v>
      </c>
      <c r="D12" s="16" t="s">
        <v>310</v>
      </c>
      <c r="E12" s="16" t="s">
        <v>456</v>
      </c>
      <c r="F12" s="17">
        <v>46081</v>
      </c>
      <c r="G12" s="17">
        <v>46081</v>
      </c>
      <c r="H12" s="16" t="s">
        <v>232</v>
      </c>
      <c r="I12" s="16" t="s">
        <v>437</v>
      </c>
      <c r="J12" s="16" t="s">
        <v>508</v>
      </c>
      <c r="K12" s="16" t="s">
        <v>513</v>
      </c>
      <c r="L12" s="16"/>
      <c r="M12" s="27" t="str">
        <f>IF(AND(H12&lt;&gt;"Complete",'Branding &amp; Setup'!$B$12&gt;F12),"Yes","No")</f>
        <v>No</v>
      </c>
    </row>
    <row r="13" spans="1:13" ht="25.5" x14ac:dyDescent="0.25">
      <c r="A13" s="16" t="s">
        <v>514</v>
      </c>
      <c r="B13" s="16" t="s">
        <v>168</v>
      </c>
      <c r="C13" s="16" t="s">
        <v>515</v>
      </c>
      <c r="D13" s="16" t="s">
        <v>297</v>
      </c>
      <c r="E13" s="16" t="s">
        <v>252</v>
      </c>
      <c r="F13" s="17">
        <v>46082</v>
      </c>
      <c r="G13" s="17">
        <v>46083</v>
      </c>
      <c r="H13" s="16" t="s">
        <v>232</v>
      </c>
      <c r="I13" s="16" t="s">
        <v>437</v>
      </c>
      <c r="J13" s="16" t="s">
        <v>504</v>
      </c>
      <c r="K13" s="16" t="s">
        <v>505</v>
      </c>
      <c r="L13" s="16"/>
      <c r="M13" s="27" t="str">
        <f>IF(AND(H13&lt;&gt;"Complete",'Branding &amp; Setup'!$B$12&gt;F13),"Yes","No")</f>
        <v>No</v>
      </c>
    </row>
    <row r="14" spans="1:13" ht="25.5" x14ac:dyDescent="0.25">
      <c r="A14" s="16" t="s">
        <v>516</v>
      </c>
      <c r="B14" s="16" t="s">
        <v>517</v>
      </c>
      <c r="C14" s="16" t="s">
        <v>518</v>
      </c>
      <c r="D14" s="16" t="s">
        <v>304</v>
      </c>
      <c r="E14" s="16" t="s">
        <v>81</v>
      </c>
      <c r="F14" s="17">
        <v>46080</v>
      </c>
      <c r="G14" s="17">
        <v>46081</v>
      </c>
      <c r="H14" s="16" t="s">
        <v>232</v>
      </c>
      <c r="I14" s="16" t="s">
        <v>437</v>
      </c>
      <c r="J14" s="16" t="s">
        <v>504</v>
      </c>
      <c r="K14" s="16" t="s">
        <v>519</v>
      </c>
      <c r="L14" s="16"/>
      <c r="M14" s="27" t="str">
        <f>IF(AND(H14&lt;&gt;"Complete",'Branding &amp; Setup'!$B$12&gt;F14),"Yes","No")</f>
        <v>No</v>
      </c>
    </row>
    <row r="15" spans="1:13" ht="25.5" x14ac:dyDescent="0.25">
      <c r="A15" s="16" t="s">
        <v>520</v>
      </c>
      <c r="B15" s="16" t="s">
        <v>517</v>
      </c>
      <c r="C15" s="16" t="s">
        <v>521</v>
      </c>
      <c r="D15" s="16" t="s">
        <v>297</v>
      </c>
      <c r="E15" s="16" t="s">
        <v>81</v>
      </c>
      <c r="F15" s="17">
        <v>46080</v>
      </c>
      <c r="G15" s="16"/>
      <c r="H15" s="16" t="s">
        <v>263</v>
      </c>
      <c r="I15" s="16" t="s">
        <v>437</v>
      </c>
      <c r="J15" s="16" t="s">
        <v>522</v>
      </c>
      <c r="K15" s="16" t="s">
        <v>505</v>
      </c>
      <c r="L15" s="16"/>
      <c r="M15" s="27" t="str">
        <f>IF(AND(H15&lt;&gt;"Complete",'Branding &amp; Setup'!$B$12&gt;F15),"Yes","No")</f>
        <v>Yes</v>
      </c>
    </row>
    <row r="16" spans="1:13" ht="25.5" x14ac:dyDescent="0.25">
      <c r="A16" s="16" t="s">
        <v>523</v>
      </c>
      <c r="B16" s="16" t="s">
        <v>517</v>
      </c>
      <c r="C16" s="16" t="s">
        <v>524</v>
      </c>
      <c r="D16" s="16" t="s">
        <v>291</v>
      </c>
      <c r="E16" s="16" t="s">
        <v>81</v>
      </c>
      <c r="F16" s="17">
        <v>46083</v>
      </c>
      <c r="G16" s="17">
        <v>46085</v>
      </c>
      <c r="H16" s="16" t="s">
        <v>232</v>
      </c>
      <c r="I16" s="16" t="s">
        <v>437</v>
      </c>
      <c r="J16" s="16" t="s">
        <v>522</v>
      </c>
      <c r="K16" s="16" t="s">
        <v>505</v>
      </c>
      <c r="L16" s="16"/>
      <c r="M16" s="27" t="str">
        <f>IF(AND(H16&lt;&gt;"Complete",'Branding &amp; Setup'!$B$12&gt;F16),"Yes","No")</f>
        <v>No</v>
      </c>
    </row>
    <row r="17" spans="1:13" ht="25.5" x14ac:dyDescent="0.25">
      <c r="A17" s="16" t="s">
        <v>525</v>
      </c>
      <c r="B17" s="16" t="s">
        <v>517</v>
      </c>
      <c r="C17" s="16" t="s">
        <v>526</v>
      </c>
      <c r="D17" s="16" t="s">
        <v>297</v>
      </c>
      <c r="E17" s="16" t="s">
        <v>258</v>
      </c>
      <c r="F17" s="17">
        <v>46077</v>
      </c>
      <c r="G17" s="17">
        <v>46077</v>
      </c>
      <c r="H17" s="16" t="s">
        <v>232</v>
      </c>
      <c r="I17" s="16" t="s">
        <v>437</v>
      </c>
      <c r="J17" s="16" t="s">
        <v>508</v>
      </c>
      <c r="K17" s="16" t="s">
        <v>513</v>
      </c>
      <c r="L17" s="16"/>
      <c r="M17" s="27" t="str">
        <f>IF(AND(H17&lt;&gt;"Complete",'Branding &amp; Setup'!$B$12&gt;F17),"Yes","No")</f>
        <v>No</v>
      </c>
    </row>
    <row r="18" spans="1:13" ht="25.5" x14ac:dyDescent="0.25">
      <c r="A18" s="16" t="s">
        <v>527</v>
      </c>
      <c r="B18" s="16" t="s">
        <v>517</v>
      </c>
      <c r="C18" s="16" t="s">
        <v>528</v>
      </c>
      <c r="D18" s="16" t="s">
        <v>304</v>
      </c>
      <c r="E18" s="16" t="s">
        <v>258</v>
      </c>
      <c r="F18" s="17">
        <v>46082</v>
      </c>
      <c r="G18" s="16"/>
      <c r="H18" s="16" t="s">
        <v>263</v>
      </c>
      <c r="I18" s="16" t="s">
        <v>437</v>
      </c>
      <c r="J18" s="16" t="s">
        <v>508</v>
      </c>
      <c r="K18" s="16" t="s">
        <v>505</v>
      </c>
      <c r="L18" s="16"/>
      <c r="M18" s="27" t="str">
        <f>IF(AND(H18&lt;&gt;"Complete",'Branding &amp; Setup'!$B$12&gt;F18),"Yes","No")</f>
        <v>Yes</v>
      </c>
    </row>
    <row r="19" spans="1:13" ht="25.5" x14ac:dyDescent="0.25">
      <c r="A19" s="16" t="s">
        <v>529</v>
      </c>
      <c r="B19" s="16" t="s">
        <v>249</v>
      </c>
      <c r="C19" s="16" t="s">
        <v>530</v>
      </c>
      <c r="D19" s="16" t="s">
        <v>291</v>
      </c>
      <c r="E19" s="16" t="s">
        <v>243</v>
      </c>
      <c r="F19" s="17">
        <v>46081</v>
      </c>
      <c r="G19" s="16"/>
      <c r="H19" s="16" t="s">
        <v>263</v>
      </c>
      <c r="I19" s="16" t="s">
        <v>437</v>
      </c>
      <c r="J19" s="16" t="s">
        <v>508</v>
      </c>
      <c r="K19" s="16" t="s">
        <v>505</v>
      </c>
      <c r="L19" s="16"/>
      <c r="M19" s="27" t="str">
        <f>IF(AND(H19&lt;&gt;"Complete",'Branding &amp; Setup'!$B$12&gt;F19),"Yes","No")</f>
        <v>Yes</v>
      </c>
    </row>
    <row r="20" spans="1:13" x14ac:dyDescent="0.25">
      <c r="A20" s="16" t="s">
        <v>531</v>
      </c>
      <c r="B20" s="16" t="s">
        <v>249</v>
      </c>
      <c r="C20" s="16" t="s">
        <v>532</v>
      </c>
      <c r="D20" s="16" t="s">
        <v>283</v>
      </c>
      <c r="E20" s="16" t="s">
        <v>81</v>
      </c>
      <c r="F20" s="17">
        <v>46079</v>
      </c>
      <c r="G20" s="16"/>
      <c r="H20" s="16" t="s">
        <v>197</v>
      </c>
      <c r="I20" s="16" t="s">
        <v>438</v>
      </c>
      <c r="J20" s="16" t="s">
        <v>504</v>
      </c>
      <c r="K20" s="16" t="s">
        <v>533</v>
      </c>
      <c r="L20" s="16"/>
      <c r="M20" s="27" t="str">
        <f>IF(AND(H20&lt;&gt;"Complete",'Branding &amp; Setup'!$B$12&gt;F20),"Yes","No")</f>
        <v>Yes</v>
      </c>
    </row>
    <row r="21" spans="1:13" ht="25.5" x14ac:dyDescent="0.25">
      <c r="A21" s="16" t="s">
        <v>534</v>
      </c>
      <c r="B21" s="16" t="s">
        <v>249</v>
      </c>
      <c r="C21" s="16" t="s">
        <v>535</v>
      </c>
      <c r="D21" s="16" t="s">
        <v>283</v>
      </c>
      <c r="E21" s="16" t="s">
        <v>456</v>
      </c>
      <c r="F21" s="17">
        <v>46080</v>
      </c>
      <c r="G21" s="17">
        <v>46082</v>
      </c>
      <c r="H21" s="16" t="s">
        <v>232</v>
      </c>
      <c r="I21" s="16" t="s">
        <v>437</v>
      </c>
      <c r="J21" s="16" t="s">
        <v>508</v>
      </c>
      <c r="K21" s="16" t="s">
        <v>505</v>
      </c>
      <c r="L21" s="16"/>
      <c r="M21" s="27" t="str">
        <f>IF(AND(H21&lt;&gt;"Complete",'Branding &amp; Setup'!$B$12&gt;F21),"Yes","No")</f>
        <v>No</v>
      </c>
    </row>
    <row r="22" spans="1:13" ht="25.5" x14ac:dyDescent="0.25">
      <c r="A22" s="16" t="s">
        <v>536</v>
      </c>
      <c r="B22" s="16" t="s">
        <v>249</v>
      </c>
      <c r="C22" s="16" t="s">
        <v>537</v>
      </c>
      <c r="D22" s="16" t="s">
        <v>304</v>
      </c>
      <c r="E22" s="16" t="s">
        <v>299</v>
      </c>
      <c r="F22" s="17">
        <v>46081</v>
      </c>
      <c r="G22" s="17">
        <v>46082</v>
      </c>
      <c r="H22" s="16" t="s">
        <v>232</v>
      </c>
      <c r="I22" s="16" t="s">
        <v>437</v>
      </c>
      <c r="J22" s="16" t="s">
        <v>522</v>
      </c>
      <c r="K22" s="16" t="s">
        <v>533</v>
      </c>
      <c r="L22" s="16"/>
      <c r="M22" s="27" t="str">
        <f>IF(AND(H22&lt;&gt;"Complete",'Branding &amp; Setup'!$B$12&gt;F22),"Yes","No")</f>
        <v>No</v>
      </c>
    </row>
    <row r="23" spans="1:13" ht="25.5" x14ac:dyDescent="0.25">
      <c r="A23" s="16" t="s">
        <v>538</v>
      </c>
      <c r="B23" s="16" t="s">
        <v>249</v>
      </c>
      <c r="C23" s="16" t="s">
        <v>539</v>
      </c>
      <c r="D23" s="16" t="s">
        <v>291</v>
      </c>
      <c r="E23" s="16" t="s">
        <v>252</v>
      </c>
      <c r="F23" s="17">
        <v>46080</v>
      </c>
      <c r="G23" s="16"/>
      <c r="H23" s="16" t="s">
        <v>266</v>
      </c>
      <c r="I23" s="16" t="s">
        <v>437</v>
      </c>
      <c r="J23" s="16" t="s">
        <v>522</v>
      </c>
      <c r="K23" s="16" t="s">
        <v>519</v>
      </c>
      <c r="L23" s="16"/>
      <c r="M23" s="27" t="str">
        <f>IF(AND(H23&lt;&gt;"Complete",'Branding &amp; Setup'!$B$12&gt;F23),"Yes","No")</f>
        <v>Yes</v>
      </c>
    </row>
    <row r="24" spans="1:13" ht="25.5" x14ac:dyDescent="0.25">
      <c r="A24" s="16" t="s">
        <v>540</v>
      </c>
      <c r="B24" s="16" t="s">
        <v>541</v>
      </c>
      <c r="C24" s="16" t="s">
        <v>542</v>
      </c>
      <c r="D24" s="16" t="s">
        <v>283</v>
      </c>
      <c r="E24" s="16" t="s">
        <v>243</v>
      </c>
      <c r="F24" s="17">
        <v>46082</v>
      </c>
      <c r="G24" s="16"/>
      <c r="H24" s="16" t="s">
        <v>263</v>
      </c>
      <c r="I24" s="16" t="s">
        <v>437</v>
      </c>
      <c r="J24" s="16" t="s">
        <v>504</v>
      </c>
      <c r="K24" s="16" t="s">
        <v>519</v>
      </c>
      <c r="L24" s="16"/>
      <c r="M24" s="27" t="str">
        <f>IF(AND(H24&lt;&gt;"Complete",'Branding &amp; Setup'!$B$12&gt;F24),"Yes","No")</f>
        <v>Yes</v>
      </c>
    </row>
    <row r="25" spans="1:13" x14ac:dyDescent="0.25">
      <c r="A25" s="16" t="s">
        <v>543</v>
      </c>
      <c r="B25" s="16" t="s">
        <v>541</v>
      </c>
      <c r="C25" s="16" t="s">
        <v>544</v>
      </c>
      <c r="D25" s="16" t="s">
        <v>291</v>
      </c>
      <c r="E25" s="16" t="s">
        <v>79</v>
      </c>
      <c r="F25" s="17">
        <v>46083</v>
      </c>
      <c r="G25" s="16"/>
      <c r="H25" s="16" t="s">
        <v>266</v>
      </c>
      <c r="I25" s="16" t="s">
        <v>437</v>
      </c>
      <c r="J25" s="16" t="s">
        <v>508</v>
      </c>
      <c r="K25" s="16" t="s">
        <v>533</v>
      </c>
      <c r="L25" s="16"/>
      <c r="M25" s="27" t="str">
        <f>IF(AND(H25&lt;&gt;"Complete",'Branding &amp; Setup'!$B$12&gt;F25),"Yes","No")</f>
        <v>Yes</v>
      </c>
    </row>
    <row r="26" spans="1:13" ht="25.5" x14ac:dyDescent="0.25">
      <c r="A26" s="16" t="s">
        <v>545</v>
      </c>
      <c r="B26" s="16" t="s">
        <v>541</v>
      </c>
      <c r="C26" s="16" t="s">
        <v>546</v>
      </c>
      <c r="D26" s="16" t="s">
        <v>291</v>
      </c>
      <c r="E26" s="16" t="s">
        <v>252</v>
      </c>
      <c r="F26" s="17">
        <v>46078</v>
      </c>
      <c r="G26" s="17">
        <v>46078</v>
      </c>
      <c r="H26" s="16" t="s">
        <v>232</v>
      </c>
      <c r="I26" s="16" t="s">
        <v>437</v>
      </c>
      <c r="J26" s="16" t="s">
        <v>522</v>
      </c>
      <c r="K26" s="16" t="s">
        <v>519</v>
      </c>
      <c r="L26" s="16"/>
      <c r="M26" s="27" t="str">
        <f>IF(AND(H26&lt;&gt;"Complete",'Branding &amp; Setup'!$B$12&gt;F26),"Yes","No")</f>
        <v>No</v>
      </c>
    </row>
    <row r="27" spans="1:13" x14ac:dyDescent="0.25">
      <c r="A27" s="16" t="s">
        <v>547</v>
      </c>
      <c r="B27" s="16" t="s">
        <v>541</v>
      </c>
      <c r="C27" s="16" t="s">
        <v>548</v>
      </c>
      <c r="D27" s="16" t="s">
        <v>304</v>
      </c>
      <c r="E27" s="16" t="s">
        <v>243</v>
      </c>
      <c r="F27" s="17">
        <v>46079</v>
      </c>
      <c r="G27" s="16"/>
      <c r="H27" s="16" t="s">
        <v>263</v>
      </c>
      <c r="I27" s="16" t="s">
        <v>437</v>
      </c>
      <c r="J27" s="16" t="s">
        <v>522</v>
      </c>
      <c r="K27" s="16" t="s">
        <v>513</v>
      </c>
      <c r="L27" s="16"/>
      <c r="M27" s="27" t="str">
        <f>IF(AND(H27&lt;&gt;"Complete",'Branding &amp; Setup'!$B$12&gt;F27),"Yes","No")</f>
        <v>Yes</v>
      </c>
    </row>
    <row r="28" spans="1:13" ht="25.5" x14ac:dyDescent="0.25">
      <c r="A28" s="16" t="s">
        <v>549</v>
      </c>
      <c r="B28" s="16" t="s">
        <v>541</v>
      </c>
      <c r="C28" s="16" t="s">
        <v>550</v>
      </c>
      <c r="D28" s="16" t="s">
        <v>304</v>
      </c>
      <c r="E28" s="16" t="s">
        <v>243</v>
      </c>
      <c r="F28" s="17">
        <v>46080</v>
      </c>
      <c r="G28" s="17">
        <v>46082</v>
      </c>
      <c r="H28" s="16" t="s">
        <v>232</v>
      </c>
      <c r="I28" s="16" t="s">
        <v>437</v>
      </c>
      <c r="J28" s="16" t="s">
        <v>508</v>
      </c>
      <c r="K28" s="16" t="s">
        <v>505</v>
      </c>
      <c r="L28" s="16"/>
      <c r="M28" s="27" t="str">
        <f>IF(AND(H28&lt;&gt;"Complete",'Branding &amp; Setup'!$B$12&gt;F28),"Yes","No")</f>
        <v>No</v>
      </c>
    </row>
    <row r="29" spans="1:13" x14ac:dyDescent="0.25">
      <c r="A29" s="16" t="s">
        <v>551</v>
      </c>
      <c r="B29" s="16" t="s">
        <v>552</v>
      </c>
      <c r="C29" s="16" t="s">
        <v>553</v>
      </c>
      <c r="D29" s="16" t="s">
        <v>291</v>
      </c>
      <c r="E29" s="16" t="s">
        <v>258</v>
      </c>
      <c r="F29" s="17">
        <v>46077</v>
      </c>
      <c r="G29" s="16"/>
      <c r="H29" s="16" t="s">
        <v>266</v>
      </c>
      <c r="I29" s="16" t="s">
        <v>437</v>
      </c>
      <c r="J29" s="16" t="s">
        <v>504</v>
      </c>
      <c r="K29" s="16" t="s">
        <v>513</v>
      </c>
      <c r="L29" s="16"/>
      <c r="M29" s="27" t="str">
        <f>IF(AND(H29&lt;&gt;"Complete",'Branding &amp; Setup'!$B$12&gt;F29),"Yes","No")</f>
        <v>Yes</v>
      </c>
    </row>
    <row r="30" spans="1:13" x14ac:dyDescent="0.25">
      <c r="A30" s="16" t="s">
        <v>554</v>
      </c>
      <c r="B30" s="16" t="s">
        <v>552</v>
      </c>
      <c r="C30" s="16" t="s">
        <v>555</v>
      </c>
      <c r="D30" s="16" t="s">
        <v>297</v>
      </c>
      <c r="E30" s="16" t="s">
        <v>79</v>
      </c>
      <c r="F30" s="17">
        <v>46082</v>
      </c>
      <c r="G30" s="17">
        <v>46084</v>
      </c>
      <c r="H30" s="16" t="s">
        <v>232</v>
      </c>
      <c r="I30" s="16" t="s">
        <v>437</v>
      </c>
      <c r="J30" s="16" t="s">
        <v>504</v>
      </c>
      <c r="K30" s="16" t="s">
        <v>533</v>
      </c>
      <c r="L30" s="16"/>
      <c r="M30" s="27" t="str">
        <f>IF(AND(H30&lt;&gt;"Complete",'Branding &amp; Setup'!$B$12&gt;F30),"Yes","No")</f>
        <v>No</v>
      </c>
    </row>
    <row r="31" spans="1:13" x14ac:dyDescent="0.25">
      <c r="A31" s="16" t="s">
        <v>556</v>
      </c>
      <c r="B31" s="16" t="s">
        <v>552</v>
      </c>
      <c r="C31" s="16" t="s">
        <v>557</v>
      </c>
      <c r="D31" s="16" t="s">
        <v>304</v>
      </c>
      <c r="E31" s="16" t="s">
        <v>243</v>
      </c>
      <c r="F31" s="17">
        <v>46078</v>
      </c>
      <c r="G31" s="16"/>
      <c r="H31" s="16" t="s">
        <v>263</v>
      </c>
      <c r="I31" s="16" t="s">
        <v>437</v>
      </c>
      <c r="J31" s="16" t="s">
        <v>522</v>
      </c>
      <c r="K31" s="16" t="s">
        <v>513</v>
      </c>
      <c r="L31" s="16"/>
      <c r="M31" s="27" t="str">
        <f>IF(AND(H31&lt;&gt;"Complete",'Branding &amp; Setup'!$B$12&gt;F31),"Yes","No")</f>
        <v>Yes</v>
      </c>
    </row>
    <row r="32" spans="1:13" x14ac:dyDescent="0.25">
      <c r="A32" s="16" t="s">
        <v>558</v>
      </c>
      <c r="B32" s="16" t="s">
        <v>552</v>
      </c>
      <c r="C32" s="16" t="s">
        <v>559</v>
      </c>
      <c r="D32" s="16" t="s">
        <v>291</v>
      </c>
      <c r="E32" s="16" t="s">
        <v>258</v>
      </c>
      <c r="F32" s="17">
        <v>46079</v>
      </c>
      <c r="G32" s="17">
        <v>46079</v>
      </c>
      <c r="H32" s="16" t="s">
        <v>232</v>
      </c>
      <c r="I32" s="16" t="s">
        <v>437</v>
      </c>
      <c r="J32" s="16" t="s">
        <v>504</v>
      </c>
      <c r="K32" s="16" t="s">
        <v>533</v>
      </c>
      <c r="L32" s="16"/>
      <c r="M32" s="27" t="str">
        <f>IF(AND(H32&lt;&gt;"Complete",'Branding &amp; Setup'!$B$12&gt;F32),"Yes","No")</f>
        <v>No</v>
      </c>
    </row>
    <row r="33" spans="1:13" ht="25.5" x14ac:dyDescent="0.25">
      <c r="A33" s="16" t="s">
        <v>560</v>
      </c>
      <c r="B33" s="16" t="s">
        <v>552</v>
      </c>
      <c r="C33" s="16" t="s">
        <v>561</v>
      </c>
      <c r="D33" s="16" t="s">
        <v>283</v>
      </c>
      <c r="E33" s="16" t="s">
        <v>456</v>
      </c>
      <c r="F33" s="17">
        <v>46081</v>
      </c>
      <c r="G33" s="17">
        <v>46082</v>
      </c>
      <c r="H33" s="16" t="s">
        <v>232</v>
      </c>
      <c r="I33" s="16" t="s">
        <v>437</v>
      </c>
      <c r="J33" s="16" t="s">
        <v>522</v>
      </c>
      <c r="K33" s="16" t="s">
        <v>519</v>
      </c>
      <c r="L33" s="16"/>
      <c r="M33" s="27" t="str">
        <f>IF(AND(H33&lt;&gt;"Complete",'Branding &amp; Setup'!$B$12&gt;F33),"Yes","No")</f>
        <v>No</v>
      </c>
    </row>
  </sheetData>
  <autoFilter ref="A8:M33" xr:uid="{00000000-0009-0000-0000-00000B000000}"/>
  <mergeCells count="3">
    <mergeCell ref="A1:M1"/>
    <mergeCell ref="A2:M2"/>
    <mergeCell ref="A4:M6"/>
  </mergeCells>
  <conditionalFormatting sqref="H9:H33">
    <cfRule type="expression" dxfId="76" priority="2">
      <formula>$H9="Complete"</formula>
    </cfRule>
    <cfRule type="expression" dxfId="75" priority="3">
      <formula>$H9="In Progress"</formula>
    </cfRule>
    <cfRule type="expression" dxfId="74" priority="4">
      <formula>$H9="Blocked"</formula>
    </cfRule>
    <cfRule type="expression" dxfId="73" priority="5">
      <formula>$H9="Not Started"</formula>
    </cfRule>
  </conditionalFormatting>
  <conditionalFormatting sqref="I9:I33">
    <cfRule type="expression" dxfId="72" priority="6">
      <formula>$I9="Yes"</formula>
    </cfRule>
    <cfRule type="expression" dxfId="71" priority="7">
      <formula>$I9="No"</formula>
    </cfRule>
  </conditionalFormatting>
  <conditionalFormatting sqref="M9:M33">
    <cfRule type="expression" dxfId="70" priority="8">
      <formula>$M9="Yes"</formula>
    </cfRule>
    <cfRule type="expression" dxfId="69" priority="9">
      <formula>$M9="No"</formula>
    </cfRule>
  </conditionalFormatting>
  <dataValidations count="5">
    <dataValidation type="list" allowBlank="1" sqref="E9:E33" xr:uid="{00000000-0002-0000-0B00-000000000000}">
      <formula1>Owners</formula1>
      <formula2>0</formula2>
    </dataValidation>
    <dataValidation type="list" allowBlank="1" sqref="B9:B33" xr:uid="{00000000-0002-0000-0B00-000001000000}">
      <formula1>EnvCategories</formula1>
      <formula2>0</formula2>
    </dataValidation>
    <dataValidation type="list" allowBlank="1" sqref="D9:D33" xr:uid="{00000000-0002-0000-0B00-000002000000}">
      <formula1>BusinessAreas</formula1>
      <formula2>0</formula2>
    </dataValidation>
    <dataValidation type="list" allowBlank="1" sqref="H9:H33" xr:uid="{00000000-0002-0000-0B00-000003000000}">
      <formula1>ReadinessStatus</formula1>
      <formula2>0</formula2>
    </dataValidation>
    <dataValidation type="list" allowBlank="1" sqref="I9:I33" xr:uid="{00000000-0002-0000-0B00-000004000000}">
      <formula1>YesNo</formula1>
      <formula2>0</formula2>
    </dataValidation>
  </dataValidations>
  <hyperlinks>
    <hyperlink ref="A3" r:id="rId1" location="'Start%20Here'!A1" xr:uid="{00000000-0004-0000-0B00-000000000000}"/>
    <hyperlink ref="B3" r:id="rId2" location="'UAT%20Overview'!A1" xr:uid="{00000000-0004-0000-0B00-000001000000}"/>
    <hyperlink ref="C3" r:id="rId3" location="'Executive%20Dashboard'!A1" xr:uid="{00000000-0004-0000-0B00-000002000000}"/>
    <hyperlink ref="D3" r:id="rId4" location="'Operational%20Dashboard'!A1" xr:uid="{00000000-0004-0000-0B00-000003000000}"/>
    <hyperlink ref="E3" r:id="rId5" location="'Readiness%20Checklist'!A1" xr:uid="{00000000-0004-0000-0B00-000004000000}"/>
  </hyperlinks>
  <pageMargins left="0.75" right="0.75" top="1" bottom="1"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8"/>
  <sheetViews>
    <sheetView zoomScaleNormal="100" workbookViewId="0">
      <pane ySplit="8" topLeftCell="A9" activePane="bottomLeft" state="frozen"/>
      <selection pane="bottomLeft" sqref="A1:M1"/>
    </sheetView>
  </sheetViews>
  <sheetFormatPr defaultColWidth="8.7109375" defaultRowHeight="15" customHeight="1" x14ac:dyDescent="0.25"/>
  <cols>
    <col min="1" max="1" width="12" customWidth="1"/>
    <col min="2" max="2" width="24" customWidth="1"/>
    <col min="3" max="4" width="32" customWidth="1"/>
    <col min="5" max="5" width="10" customWidth="1"/>
    <col min="6" max="6" width="18" customWidth="1"/>
    <col min="7" max="8" width="14" customWidth="1"/>
    <col min="9" max="9" width="18" customWidth="1"/>
    <col min="10" max="10" width="24" customWidth="1"/>
    <col min="11" max="11" width="10" customWidth="1"/>
    <col min="12" max="13" width="12" customWidth="1"/>
  </cols>
  <sheetData>
    <row r="1" spans="1:13" ht="25.5" customHeight="1" x14ac:dyDescent="0.25">
      <c r="A1" s="12" t="str">
        <f>'Branding &amp; Setup'!$B$9 &amp; " | Readiness Checklist"</f>
        <v>Northbridge Citizens Services | Readiness Checklist</v>
      </c>
      <c r="B1" s="12"/>
      <c r="C1" s="12"/>
      <c r="D1" s="12"/>
      <c r="E1" s="12"/>
      <c r="F1" s="12"/>
      <c r="G1" s="12"/>
      <c r="H1" s="12"/>
      <c r="I1" s="12"/>
      <c r="J1" s="12"/>
      <c r="K1" s="12"/>
      <c r="L1" s="12"/>
      <c r="M1" s="12"/>
    </row>
    <row r="2" spans="1:13"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row>
    <row r="3" spans="1:13" ht="18" customHeight="1" x14ac:dyDescent="0.25">
      <c r="A3" s="13" t="s">
        <v>0</v>
      </c>
      <c r="B3" s="13" t="s">
        <v>1</v>
      </c>
      <c r="C3" s="13" t="s">
        <v>2</v>
      </c>
      <c r="D3" s="13" t="s">
        <v>3</v>
      </c>
      <c r="E3" s="13" t="s">
        <v>4</v>
      </c>
    </row>
    <row r="4" spans="1:13" ht="18" customHeight="1" x14ac:dyDescent="0.25">
      <c r="A4" s="10" t="s">
        <v>562</v>
      </c>
      <c r="B4" s="10"/>
      <c r="C4" s="10"/>
      <c r="D4" s="10"/>
      <c r="E4" s="10"/>
      <c r="F4" s="10"/>
      <c r="G4" s="10"/>
      <c r="H4" s="10"/>
      <c r="I4" s="10"/>
      <c r="J4" s="10"/>
      <c r="K4" s="10"/>
      <c r="L4" s="10"/>
      <c r="M4" s="10"/>
    </row>
    <row r="5" spans="1:13" ht="18" customHeight="1" x14ac:dyDescent="0.25">
      <c r="A5" s="10"/>
      <c r="B5" s="10"/>
      <c r="C5" s="10"/>
      <c r="D5" s="10"/>
      <c r="E5" s="10"/>
      <c r="F5" s="10"/>
      <c r="G5" s="10"/>
      <c r="H5" s="10"/>
      <c r="I5" s="10"/>
      <c r="J5" s="10"/>
      <c r="K5" s="10"/>
      <c r="L5" s="10"/>
      <c r="M5" s="10"/>
    </row>
    <row r="6" spans="1:13" ht="18" customHeight="1" x14ac:dyDescent="0.25">
      <c r="A6" s="10"/>
      <c r="B6" s="10"/>
      <c r="C6" s="10"/>
      <c r="D6" s="10"/>
      <c r="E6" s="10"/>
      <c r="F6" s="10"/>
      <c r="G6" s="10"/>
      <c r="H6" s="10"/>
      <c r="I6" s="10"/>
      <c r="J6" s="10"/>
      <c r="K6" s="10"/>
      <c r="L6" s="10"/>
      <c r="M6" s="10"/>
    </row>
    <row r="8" spans="1:13" ht="25.5" x14ac:dyDescent="0.25">
      <c r="A8" s="21" t="s">
        <v>563</v>
      </c>
      <c r="B8" s="21" t="s">
        <v>494</v>
      </c>
      <c r="C8" s="21" t="s">
        <v>564</v>
      </c>
      <c r="D8" s="21" t="s">
        <v>17</v>
      </c>
      <c r="E8" s="21" t="s">
        <v>565</v>
      </c>
      <c r="F8" s="21" t="s">
        <v>226</v>
      </c>
      <c r="G8" s="21" t="s">
        <v>566</v>
      </c>
      <c r="H8" s="21" t="s">
        <v>151</v>
      </c>
      <c r="I8" s="21" t="s">
        <v>567</v>
      </c>
      <c r="J8" s="21" t="s">
        <v>154</v>
      </c>
      <c r="K8" s="21" t="s">
        <v>498</v>
      </c>
      <c r="L8" s="21" t="s">
        <v>568</v>
      </c>
      <c r="M8" s="21" t="s">
        <v>501</v>
      </c>
    </row>
    <row r="9" spans="1:13" ht="38.25" x14ac:dyDescent="0.25">
      <c r="A9" s="16" t="s">
        <v>569</v>
      </c>
      <c r="B9" s="16" t="s">
        <v>570</v>
      </c>
      <c r="C9" s="16" t="s">
        <v>571</v>
      </c>
      <c r="D9" s="25" t="s">
        <v>572</v>
      </c>
      <c r="E9" s="16" t="s">
        <v>438</v>
      </c>
      <c r="F9" s="16" t="s">
        <v>299</v>
      </c>
      <c r="G9" s="17">
        <v>46081</v>
      </c>
      <c r="H9" s="16" t="s">
        <v>232</v>
      </c>
      <c r="I9" s="16" t="s">
        <v>573</v>
      </c>
      <c r="J9" s="16"/>
      <c r="K9" s="16" t="s">
        <v>437</v>
      </c>
      <c r="L9" s="26">
        <f t="shared" ref="L9:L40" si="0">IF(H9="Complete",1,0)</f>
        <v>1</v>
      </c>
      <c r="M9" s="27" t="str">
        <f>IF(AND(H9&lt;&gt;"Complete",'Branding &amp; Setup'!$B$12&gt;G9),"Yes","No")</f>
        <v>No</v>
      </c>
    </row>
    <row r="10" spans="1:13" ht="38.25" x14ac:dyDescent="0.25">
      <c r="A10" s="16" t="s">
        <v>574</v>
      </c>
      <c r="B10" s="16" t="s">
        <v>570</v>
      </c>
      <c r="C10" s="16" t="s">
        <v>575</v>
      </c>
      <c r="D10" s="25" t="s">
        <v>572</v>
      </c>
      <c r="E10" s="16" t="s">
        <v>438</v>
      </c>
      <c r="F10" s="16" t="s">
        <v>231</v>
      </c>
      <c r="G10" s="17">
        <v>46081</v>
      </c>
      <c r="H10" s="16" t="s">
        <v>232</v>
      </c>
      <c r="I10" s="16" t="s">
        <v>576</v>
      </c>
      <c r="J10" s="16"/>
      <c r="K10" s="16" t="s">
        <v>437</v>
      </c>
      <c r="L10" s="26">
        <f t="shared" si="0"/>
        <v>1</v>
      </c>
      <c r="M10" s="27" t="str">
        <f>IF(AND(H10&lt;&gt;"Complete",'Branding &amp; Setup'!$B$12&gt;G10),"Yes","No")</f>
        <v>No</v>
      </c>
    </row>
    <row r="11" spans="1:13" ht="38.25" x14ac:dyDescent="0.25">
      <c r="A11" s="16" t="s">
        <v>577</v>
      </c>
      <c r="B11" s="16" t="s">
        <v>570</v>
      </c>
      <c r="C11" s="25" t="s">
        <v>578</v>
      </c>
      <c r="D11" s="25" t="s">
        <v>572</v>
      </c>
      <c r="E11" s="16" t="s">
        <v>438</v>
      </c>
      <c r="F11" s="16" t="s">
        <v>241</v>
      </c>
      <c r="G11" s="17">
        <v>46080</v>
      </c>
      <c r="H11" s="16" t="s">
        <v>232</v>
      </c>
      <c r="I11" s="16" t="s">
        <v>573</v>
      </c>
      <c r="J11" s="16"/>
      <c r="K11" s="16" t="s">
        <v>437</v>
      </c>
      <c r="L11" s="26">
        <f t="shared" si="0"/>
        <v>1</v>
      </c>
      <c r="M11" s="27" t="str">
        <f>IF(AND(H11&lt;&gt;"Complete",'Branding &amp; Setup'!$B$12&gt;G11),"Yes","No")</f>
        <v>No</v>
      </c>
    </row>
    <row r="12" spans="1:13" ht="38.25" x14ac:dyDescent="0.25">
      <c r="A12" s="16" t="s">
        <v>579</v>
      </c>
      <c r="B12" s="16" t="s">
        <v>570</v>
      </c>
      <c r="C12" s="25" t="s">
        <v>580</v>
      </c>
      <c r="D12" s="25" t="s">
        <v>572</v>
      </c>
      <c r="E12" s="16" t="s">
        <v>438</v>
      </c>
      <c r="F12" s="16" t="s">
        <v>79</v>
      </c>
      <c r="G12" s="17">
        <v>46080</v>
      </c>
      <c r="H12" s="16" t="s">
        <v>232</v>
      </c>
      <c r="I12" s="16" t="s">
        <v>581</v>
      </c>
      <c r="J12" s="16"/>
      <c r="K12" s="16" t="s">
        <v>437</v>
      </c>
      <c r="L12" s="26">
        <f t="shared" si="0"/>
        <v>1</v>
      </c>
      <c r="M12" s="27" t="str">
        <f>IF(AND(H12&lt;&gt;"Complete",'Branding &amp; Setup'!$B$12&gt;G12),"Yes","No")</f>
        <v>No</v>
      </c>
    </row>
    <row r="13" spans="1:13" ht="38.25" x14ac:dyDescent="0.25">
      <c r="A13" s="16" t="s">
        <v>582</v>
      </c>
      <c r="B13" s="16" t="s">
        <v>570</v>
      </c>
      <c r="C13" s="16" t="s">
        <v>583</v>
      </c>
      <c r="D13" s="25" t="s">
        <v>572</v>
      </c>
      <c r="E13" s="16" t="s">
        <v>438</v>
      </c>
      <c r="F13" s="16" t="s">
        <v>241</v>
      </c>
      <c r="G13" s="17">
        <v>46084</v>
      </c>
      <c r="H13" s="16" t="s">
        <v>232</v>
      </c>
      <c r="I13" s="16" t="s">
        <v>584</v>
      </c>
      <c r="J13" s="16"/>
      <c r="K13" s="16" t="s">
        <v>437</v>
      </c>
      <c r="L13" s="26">
        <f t="shared" si="0"/>
        <v>1</v>
      </c>
      <c r="M13" s="27" t="str">
        <f>IF(AND(H13&lt;&gt;"Complete",'Branding &amp; Setup'!$B$12&gt;G13),"Yes","No")</f>
        <v>No</v>
      </c>
    </row>
    <row r="14" spans="1:13" ht="38.25" x14ac:dyDescent="0.25">
      <c r="A14" s="16" t="s">
        <v>585</v>
      </c>
      <c r="B14" s="16" t="s">
        <v>570</v>
      </c>
      <c r="C14" s="16" t="s">
        <v>586</v>
      </c>
      <c r="D14" s="25" t="s">
        <v>572</v>
      </c>
      <c r="E14" s="16" t="s">
        <v>438</v>
      </c>
      <c r="F14" s="16" t="s">
        <v>243</v>
      </c>
      <c r="G14" s="17">
        <v>46080</v>
      </c>
      <c r="H14" s="16" t="s">
        <v>232</v>
      </c>
      <c r="I14" s="16" t="s">
        <v>573</v>
      </c>
      <c r="J14" s="16"/>
      <c r="K14" s="16" t="s">
        <v>437</v>
      </c>
      <c r="L14" s="26">
        <f t="shared" si="0"/>
        <v>1</v>
      </c>
      <c r="M14" s="27" t="str">
        <f>IF(AND(H14&lt;&gt;"Complete",'Branding &amp; Setup'!$B$12&gt;G14),"Yes","No")</f>
        <v>No</v>
      </c>
    </row>
    <row r="15" spans="1:13" ht="38.25" x14ac:dyDescent="0.25">
      <c r="A15" s="16" t="s">
        <v>587</v>
      </c>
      <c r="B15" s="16" t="s">
        <v>570</v>
      </c>
      <c r="C15" s="25" t="s">
        <v>588</v>
      </c>
      <c r="D15" s="25" t="s">
        <v>572</v>
      </c>
      <c r="E15" s="16" t="s">
        <v>437</v>
      </c>
      <c r="F15" s="16" t="s">
        <v>241</v>
      </c>
      <c r="G15" s="17">
        <v>46078</v>
      </c>
      <c r="H15" s="16" t="s">
        <v>263</v>
      </c>
      <c r="I15" s="16"/>
      <c r="J15" s="16"/>
      <c r="K15" s="16" t="s">
        <v>437</v>
      </c>
      <c r="L15" s="26">
        <f t="shared" si="0"/>
        <v>0</v>
      </c>
      <c r="M15" s="27" t="str">
        <f>IF(AND(H15&lt;&gt;"Complete",'Branding &amp; Setup'!$B$12&gt;G15),"Yes","No")</f>
        <v>Yes</v>
      </c>
    </row>
    <row r="16" spans="1:13" ht="38.25" x14ac:dyDescent="0.25">
      <c r="A16" s="16" t="s">
        <v>589</v>
      </c>
      <c r="B16" s="16" t="s">
        <v>590</v>
      </c>
      <c r="C16" s="16" t="s">
        <v>591</v>
      </c>
      <c r="D16" s="25" t="s">
        <v>572</v>
      </c>
      <c r="E16" s="16" t="s">
        <v>438</v>
      </c>
      <c r="F16" s="16" t="s">
        <v>258</v>
      </c>
      <c r="G16" s="17">
        <v>46078</v>
      </c>
      <c r="H16" s="16" t="s">
        <v>232</v>
      </c>
      <c r="I16" s="16" t="s">
        <v>573</v>
      </c>
      <c r="J16" s="16"/>
      <c r="K16" s="16" t="s">
        <v>437</v>
      </c>
      <c r="L16" s="26">
        <f t="shared" si="0"/>
        <v>1</v>
      </c>
      <c r="M16" s="27" t="str">
        <f>IF(AND(H16&lt;&gt;"Complete",'Branding &amp; Setup'!$B$12&gt;G16),"Yes","No")</f>
        <v>No</v>
      </c>
    </row>
    <row r="17" spans="1:13" ht="38.25" x14ac:dyDescent="0.25">
      <c r="A17" s="16" t="s">
        <v>592</v>
      </c>
      <c r="B17" s="16" t="s">
        <v>590</v>
      </c>
      <c r="C17" s="25" t="s">
        <v>593</v>
      </c>
      <c r="D17" s="25" t="s">
        <v>572</v>
      </c>
      <c r="E17" s="16" t="s">
        <v>438</v>
      </c>
      <c r="F17" s="16" t="s">
        <v>456</v>
      </c>
      <c r="G17" s="17">
        <v>46083</v>
      </c>
      <c r="H17" s="16" t="s">
        <v>232</v>
      </c>
      <c r="I17" s="16" t="s">
        <v>594</v>
      </c>
      <c r="J17" s="16"/>
      <c r="K17" s="16" t="s">
        <v>437</v>
      </c>
      <c r="L17" s="26">
        <f t="shared" si="0"/>
        <v>1</v>
      </c>
      <c r="M17" s="27" t="str">
        <f>IF(AND(H17&lt;&gt;"Complete",'Branding &amp; Setup'!$B$12&gt;G17),"Yes","No")</f>
        <v>No</v>
      </c>
    </row>
    <row r="18" spans="1:13" ht="38.25" x14ac:dyDescent="0.25">
      <c r="A18" s="16" t="s">
        <v>595</v>
      </c>
      <c r="B18" s="16" t="s">
        <v>590</v>
      </c>
      <c r="C18" s="25" t="s">
        <v>596</v>
      </c>
      <c r="D18" s="25" t="s">
        <v>572</v>
      </c>
      <c r="E18" s="16" t="s">
        <v>437</v>
      </c>
      <c r="F18" s="16" t="s">
        <v>231</v>
      </c>
      <c r="G18" s="17">
        <v>46079</v>
      </c>
      <c r="H18" s="16" t="s">
        <v>232</v>
      </c>
      <c r="I18" s="16" t="s">
        <v>576</v>
      </c>
      <c r="J18" s="16"/>
      <c r="K18" s="16" t="s">
        <v>437</v>
      </c>
      <c r="L18" s="26">
        <f t="shared" si="0"/>
        <v>1</v>
      </c>
      <c r="M18" s="27" t="str">
        <f>IF(AND(H18&lt;&gt;"Complete",'Branding &amp; Setup'!$B$12&gt;G18),"Yes","No")</f>
        <v>No</v>
      </c>
    </row>
    <row r="19" spans="1:13" ht="38.25" x14ac:dyDescent="0.25">
      <c r="A19" s="16" t="s">
        <v>597</v>
      </c>
      <c r="B19" s="16" t="s">
        <v>590</v>
      </c>
      <c r="C19" s="16" t="s">
        <v>598</v>
      </c>
      <c r="D19" s="25" t="s">
        <v>572</v>
      </c>
      <c r="E19" s="16" t="s">
        <v>437</v>
      </c>
      <c r="F19" s="16" t="s">
        <v>241</v>
      </c>
      <c r="G19" s="17">
        <v>46078</v>
      </c>
      <c r="H19" s="16" t="s">
        <v>263</v>
      </c>
      <c r="I19" s="16" t="s">
        <v>594</v>
      </c>
      <c r="J19" s="16"/>
      <c r="K19" s="16" t="s">
        <v>437</v>
      </c>
      <c r="L19" s="26">
        <f t="shared" si="0"/>
        <v>0</v>
      </c>
      <c r="M19" s="27" t="str">
        <f>IF(AND(H19&lt;&gt;"Complete",'Branding &amp; Setup'!$B$12&gt;G19),"Yes","No")</f>
        <v>Yes</v>
      </c>
    </row>
    <row r="20" spans="1:13" ht="38.25" x14ac:dyDescent="0.25">
      <c r="A20" s="16" t="s">
        <v>599</v>
      </c>
      <c r="B20" s="16" t="s">
        <v>590</v>
      </c>
      <c r="C20" s="16" t="s">
        <v>600</v>
      </c>
      <c r="D20" s="25" t="s">
        <v>572</v>
      </c>
      <c r="E20" s="16" t="s">
        <v>438</v>
      </c>
      <c r="F20" s="16" t="s">
        <v>269</v>
      </c>
      <c r="G20" s="17">
        <v>46085</v>
      </c>
      <c r="H20" s="16" t="s">
        <v>232</v>
      </c>
      <c r="I20" s="16" t="s">
        <v>576</v>
      </c>
      <c r="J20" s="16"/>
      <c r="K20" s="16" t="s">
        <v>437</v>
      </c>
      <c r="L20" s="26">
        <f t="shared" si="0"/>
        <v>1</v>
      </c>
      <c r="M20" s="27" t="str">
        <f>IF(AND(H20&lt;&gt;"Complete",'Branding &amp; Setup'!$B$12&gt;G20),"Yes","No")</f>
        <v>No</v>
      </c>
    </row>
    <row r="21" spans="1:13" ht="38.25" x14ac:dyDescent="0.25">
      <c r="A21" s="16" t="s">
        <v>601</v>
      </c>
      <c r="B21" s="16" t="s">
        <v>590</v>
      </c>
      <c r="C21" s="25" t="s">
        <v>602</v>
      </c>
      <c r="D21" s="25" t="s">
        <v>572</v>
      </c>
      <c r="E21" s="16" t="s">
        <v>438</v>
      </c>
      <c r="F21" s="16" t="s">
        <v>258</v>
      </c>
      <c r="G21" s="17">
        <v>46080</v>
      </c>
      <c r="H21" s="16" t="s">
        <v>266</v>
      </c>
      <c r="I21" s="16" t="s">
        <v>584</v>
      </c>
      <c r="J21" s="16" t="s">
        <v>603</v>
      </c>
      <c r="K21" s="16" t="s">
        <v>438</v>
      </c>
      <c r="L21" s="26">
        <f t="shared" si="0"/>
        <v>0</v>
      </c>
      <c r="M21" s="27" t="str">
        <f>IF(AND(H21&lt;&gt;"Complete",'Branding &amp; Setup'!$B$12&gt;G21),"Yes","No")</f>
        <v>Yes</v>
      </c>
    </row>
    <row r="22" spans="1:13" ht="38.25" x14ac:dyDescent="0.25">
      <c r="A22" s="16" t="s">
        <v>604</v>
      </c>
      <c r="B22" s="16" t="s">
        <v>590</v>
      </c>
      <c r="C22" s="25" t="s">
        <v>605</v>
      </c>
      <c r="D22" s="25" t="s">
        <v>572</v>
      </c>
      <c r="E22" s="16" t="s">
        <v>438</v>
      </c>
      <c r="F22" s="16" t="s">
        <v>258</v>
      </c>
      <c r="G22" s="17">
        <v>46080</v>
      </c>
      <c r="H22" s="16" t="s">
        <v>263</v>
      </c>
      <c r="I22" s="16" t="s">
        <v>581</v>
      </c>
      <c r="J22" s="16"/>
      <c r="K22" s="16" t="s">
        <v>437</v>
      </c>
      <c r="L22" s="26">
        <f t="shared" si="0"/>
        <v>0</v>
      </c>
      <c r="M22" s="27" t="str">
        <f>IF(AND(H22&lt;&gt;"Complete",'Branding &amp; Setup'!$B$12&gt;G22),"Yes","No")</f>
        <v>Yes</v>
      </c>
    </row>
    <row r="23" spans="1:13" ht="38.25" x14ac:dyDescent="0.25">
      <c r="A23" s="16" t="s">
        <v>606</v>
      </c>
      <c r="B23" s="16" t="s">
        <v>607</v>
      </c>
      <c r="C23" s="16" t="s">
        <v>608</v>
      </c>
      <c r="D23" s="25" t="s">
        <v>572</v>
      </c>
      <c r="E23" s="16" t="s">
        <v>437</v>
      </c>
      <c r="F23" s="16" t="s">
        <v>299</v>
      </c>
      <c r="G23" s="17">
        <v>46079</v>
      </c>
      <c r="H23" s="16" t="s">
        <v>263</v>
      </c>
      <c r="I23" s="16" t="s">
        <v>594</v>
      </c>
      <c r="J23" s="16"/>
      <c r="K23" s="16" t="s">
        <v>437</v>
      </c>
      <c r="L23" s="26">
        <f t="shared" si="0"/>
        <v>0</v>
      </c>
      <c r="M23" s="27" t="str">
        <f>IF(AND(H23&lt;&gt;"Complete",'Branding &amp; Setup'!$B$12&gt;G23),"Yes","No")</f>
        <v>Yes</v>
      </c>
    </row>
    <row r="24" spans="1:13" ht="38.25" x14ac:dyDescent="0.25">
      <c r="A24" s="16" t="s">
        <v>609</v>
      </c>
      <c r="B24" s="16" t="s">
        <v>607</v>
      </c>
      <c r="C24" s="16" t="s">
        <v>610</v>
      </c>
      <c r="D24" s="25" t="s">
        <v>572</v>
      </c>
      <c r="E24" s="16" t="s">
        <v>438</v>
      </c>
      <c r="F24" s="16" t="s">
        <v>269</v>
      </c>
      <c r="G24" s="17">
        <v>46079</v>
      </c>
      <c r="H24" s="16" t="s">
        <v>232</v>
      </c>
      <c r="I24" s="16" t="s">
        <v>584</v>
      </c>
      <c r="J24" s="16"/>
      <c r="K24" s="16" t="s">
        <v>437</v>
      </c>
      <c r="L24" s="26">
        <f t="shared" si="0"/>
        <v>1</v>
      </c>
      <c r="M24" s="27" t="str">
        <f>IF(AND(H24&lt;&gt;"Complete",'Branding &amp; Setup'!$B$12&gt;G24),"Yes","No")</f>
        <v>No</v>
      </c>
    </row>
    <row r="25" spans="1:13" ht="38.25" x14ac:dyDescent="0.25">
      <c r="A25" s="16" t="s">
        <v>611</v>
      </c>
      <c r="B25" s="16" t="s">
        <v>607</v>
      </c>
      <c r="C25" s="25" t="s">
        <v>612</v>
      </c>
      <c r="D25" s="25" t="s">
        <v>572</v>
      </c>
      <c r="E25" s="16" t="s">
        <v>438</v>
      </c>
      <c r="F25" s="16" t="s">
        <v>231</v>
      </c>
      <c r="G25" s="17">
        <v>46084</v>
      </c>
      <c r="H25" s="16" t="s">
        <v>197</v>
      </c>
      <c r="I25" s="16" t="s">
        <v>573</v>
      </c>
      <c r="J25" s="16" t="s">
        <v>603</v>
      </c>
      <c r="K25" s="16" t="s">
        <v>438</v>
      </c>
      <c r="L25" s="26">
        <f t="shared" si="0"/>
        <v>0</v>
      </c>
      <c r="M25" s="27" t="str">
        <f>IF(AND(H25&lt;&gt;"Complete",'Branding &amp; Setup'!$B$12&gt;G25),"Yes","No")</f>
        <v>Yes</v>
      </c>
    </row>
    <row r="26" spans="1:13" ht="38.25" x14ac:dyDescent="0.25">
      <c r="A26" s="16" t="s">
        <v>613</v>
      </c>
      <c r="B26" s="16" t="s">
        <v>607</v>
      </c>
      <c r="C26" s="25" t="s">
        <v>614</v>
      </c>
      <c r="D26" s="25" t="s">
        <v>572</v>
      </c>
      <c r="E26" s="16" t="s">
        <v>437</v>
      </c>
      <c r="F26" s="16" t="s">
        <v>258</v>
      </c>
      <c r="G26" s="17">
        <v>46082</v>
      </c>
      <c r="H26" s="16" t="s">
        <v>232</v>
      </c>
      <c r="I26" s="16" t="s">
        <v>584</v>
      </c>
      <c r="J26" s="16"/>
      <c r="K26" s="16" t="s">
        <v>437</v>
      </c>
      <c r="L26" s="26">
        <f t="shared" si="0"/>
        <v>1</v>
      </c>
      <c r="M26" s="27" t="str">
        <f>IF(AND(H26&lt;&gt;"Complete",'Branding &amp; Setup'!$B$12&gt;G26),"Yes","No")</f>
        <v>No</v>
      </c>
    </row>
    <row r="27" spans="1:13" ht="38.25" x14ac:dyDescent="0.25">
      <c r="A27" s="16" t="s">
        <v>615</v>
      </c>
      <c r="B27" s="16" t="s">
        <v>607</v>
      </c>
      <c r="C27" s="16" t="s">
        <v>616</v>
      </c>
      <c r="D27" s="25" t="s">
        <v>572</v>
      </c>
      <c r="E27" s="16" t="s">
        <v>438</v>
      </c>
      <c r="F27" s="16" t="s">
        <v>456</v>
      </c>
      <c r="G27" s="17">
        <v>46081</v>
      </c>
      <c r="H27" s="16" t="s">
        <v>232</v>
      </c>
      <c r="I27" s="16" t="s">
        <v>573</v>
      </c>
      <c r="J27" s="16"/>
      <c r="K27" s="16" t="s">
        <v>437</v>
      </c>
      <c r="L27" s="26">
        <f t="shared" si="0"/>
        <v>1</v>
      </c>
      <c r="M27" s="27" t="str">
        <f>IF(AND(H27&lt;&gt;"Complete",'Branding &amp; Setup'!$B$12&gt;G27),"Yes","No")</f>
        <v>No</v>
      </c>
    </row>
    <row r="28" spans="1:13" ht="38.25" x14ac:dyDescent="0.25">
      <c r="A28" s="16" t="s">
        <v>617</v>
      </c>
      <c r="B28" s="16" t="s">
        <v>607</v>
      </c>
      <c r="C28" s="25" t="s">
        <v>618</v>
      </c>
      <c r="D28" s="25" t="s">
        <v>572</v>
      </c>
      <c r="E28" s="16" t="s">
        <v>438</v>
      </c>
      <c r="F28" s="16" t="s">
        <v>252</v>
      </c>
      <c r="G28" s="17">
        <v>46081</v>
      </c>
      <c r="H28" s="16" t="s">
        <v>232</v>
      </c>
      <c r="I28" s="16" t="s">
        <v>576</v>
      </c>
      <c r="J28" s="16"/>
      <c r="K28" s="16" t="s">
        <v>437</v>
      </c>
      <c r="L28" s="26">
        <f t="shared" si="0"/>
        <v>1</v>
      </c>
      <c r="M28" s="27" t="str">
        <f>IF(AND(H28&lt;&gt;"Complete",'Branding &amp; Setup'!$B$12&gt;G28),"Yes","No")</f>
        <v>No</v>
      </c>
    </row>
    <row r="29" spans="1:13" ht="38.25" x14ac:dyDescent="0.25">
      <c r="A29" s="16" t="s">
        <v>619</v>
      </c>
      <c r="B29" s="16" t="s">
        <v>607</v>
      </c>
      <c r="C29" s="16" t="s">
        <v>620</v>
      </c>
      <c r="D29" s="25" t="s">
        <v>572</v>
      </c>
      <c r="E29" s="16" t="s">
        <v>438</v>
      </c>
      <c r="F29" s="16" t="s">
        <v>269</v>
      </c>
      <c r="G29" s="17">
        <v>46081</v>
      </c>
      <c r="H29" s="16" t="s">
        <v>232</v>
      </c>
      <c r="I29" s="16"/>
      <c r="J29" s="16"/>
      <c r="K29" s="16" t="s">
        <v>437</v>
      </c>
      <c r="L29" s="26">
        <f t="shared" si="0"/>
        <v>1</v>
      </c>
      <c r="M29" s="27" t="str">
        <f>IF(AND(H29&lt;&gt;"Complete",'Branding &amp; Setup'!$B$12&gt;G29),"Yes","No")</f>
        <v>No</v>
      </c>
    </row>
    <row r="30" spans="1:13" ht="38.25" x14ac:dyDescent="0.25">
      <c r="A30" s="16" t="s">
        <v>621</v>
      </c>
      <c r="B30" s="16" t="s">
        <v>622</v>
      </c>
      <c r="C30" s="16" t="s">
        <v>623</v>
      </c>
      <c r="D30" s="25" t="s">
        <v>572</v>
      </c>
      <c r="E30" s="16" t="s">
        <v>437</v>
      </c>
      <c r="F30" s="16" t="s">
        <v>241</v>
      </c>
      <c r="G30" s="17">
        <v>46085</v>
      </c>
      <c r="H30" s="16" t="s">
        <v>266</v>
      </c>
      <c r="I30" s="16" t="s">
        <v>576</v>
      </c>
      <c r="J30" s="16"/>
      <c r="K30" s="16" t="s">
        <v>437</v>
      </c>
      <c r="L30" s="26">
        <f t="shared" si="0"/>
        <v>0</v>
      </c>
      <c r="M30" s="27" t="str">
        <f>IF(AND(H30&lt;&gt;"Complete",'Branding &amp; Setup'!$B$12&gt;G30),"Yes","No")</f>
        <v>Yes</v>
      </c>
    </row>
    <row r="31" spans="1:13" ht="38.25" x14ac:dyDescent="0.25">
      <c r="A31" s="16" t="s">
        <v>624</v>
      </c>
      <c r="B31" s="16" t="s">
        <v>622</v>
      </c>
      <c r="C31" s="16" t="s">
        <v>625</v>
      </c>
      <c r="D31" s="25" t="s">
        <v>572</v>
      </c>
      <c r="E31" s="16" t="s">
        <v>437</v>
      </c>
      <c r="F31" s="16" t="s">
        <v>252</v>
      </c>
      <c r="G31" s="17">
        <v>46077</v>
      </c>
      <c r="H31" s="16" t="s">
        <v>232</v>
      </c>
      <c r="I31" s="16" t="s">
        <v>573</v>
      </c>
      <c r="J31" s="16"/>
      <c r="K31" s="16" t="s">
        <v>437</v>
      </c>
      <c r="L31" s="26">
        <f t="shared" si="0"/>
        <v>1</v>
      </c>
      <c r="M31" s="27" t="str">
        <f>IF(AND(H31&lt;&gt;"Complete",'Branding &amp; Setup'!$B$12&gt;G31),"Yes","No")</f>
        <v>No</v>
      </c>
    </row>
    <row r="32" spans="1:13" ht="38.25" x14ac:dyDescent="0.25">
      <c r="A32" s="16" t="s">
        <v>626</v>
      </c>
      <c r="B32" s="16" t="s">
        <v>622</v>
      </c>
      <c r="C32" s="16" t="s">
        <v>627</v>
      </c>
      <c r="D32" s="25" t="s">
        <v>572</v>
      </c>
      <c r="E32" s="16" t="s">
        <v>438</v>
      </c>
      <c r="F32" s="16" t="s">
        <v>243</v>
      </c>
      <c r="G32" s="17">
        <v>46084</v>
      </c>
      <c r="H32" s="16" t="s">
        <v>263</v>
      </c>
      <c r="I32" s="16" t="s">
        <v>584</v>
      </c>
      <c r="J32" s="16"/>
      <c r="K32" s="16" t="s">
        <v>437</v>
      </c>
      <c r="L32" s="26">
        <f t="shared" si="0"/>
        <v>0</v>
      </c>
      <c r="M32" s="27" t="str">
        <f>IF(AND(H32&lt;&gt;"Complete",'Branding &amp; Setup'!$B$12&gt;G32),"Yes","No")</f>
        <v>Yes</v>
      </c>
    </row>
    <row r="33" spans="1:13" ht="38.25" x14ac:dyDescent="0.25">
      <c r="A33" s="16" t="s">
        <v>628</v>
      </c>
      <c r="B33" s="16" t="s">
        <v>622</v>
      </c>
      <c r="C33" s="25" t="s">
        <v>629</v>
      </c>
      <c r="D33" s="25" t="s">
        <v>572</v>
      </c>
      <c r="E33" s="16" t="s">
        <v>438</v>
      </c>
      <c r="F33" s="16" t="s">
        <v>269</v>
      </c>
      <c r="G33" s="17">
        <v>46082</v>
      </c>
      <c r="H33" s="16" t="s">
        <v>197</v>
      </c>
      <c r="I33" s="16" t="s">
        <v>573</v>
      </c>
      <c r="J33" s="16" t="s">
        <v>603</v>
      </c>
      <c r="K33" s="16" t="s">
        <v>438</v>
      </c>
      <c r="L33" s="26">
        <f t="shared" si="0"/>
        <v>0</v>
      </c>
      <c r="M33" s="27" t="str">
        <f>IF(AND(H33&lt;&gt;"Complete",'Branding &amp; Setup'!$B$12&gt;G33),"Yes","No")</f>
        <v>Yes</v>
      </c>
    </row>
    <row r="34" spans="1:13" ht="38.25" x14ac:dyDescent="0.25">
      <c r="A34" s="16" t="s">
        <v>630</v>
      </c>
      <c r="B34" s="16" t="s">
        <v>622</v>
      </c>
      <c r="C34" s="16" t="s">
        <v>631</v>
      </c>
      <c r="D34" s="25" t="s">
        <v>572</v>
      </c>
      <c r="E34" s="16" t="s">
        <v>438</v>
      </c>
      <c r="F34" s="16" t="s">
        <v>252</v>
      </c>
      <c r="G34" s="17">
        <v>46084</v>
      </c>
      <c r="H34" s="16" t="s">
        <v>263</v>
      </c>
      <c r="I34" s="16" t="s">
        <v>573</v>
      </c>
      <c r="J34" s="16"/>
      <c r="K34" s="16" t="s">
        <v>437</v>
      </c>
      <c r="L34" s="26">
        <f t="shared" si="0"/>
        <v>0</v>
      </c>
      <c r="M34" s="27" t="str">
        <f>IF(AND(H34&lt;&gt;"Complete",'Branding &amp; Setup'!$B$12&gt;G34),"Yes","No")</f>
        <v>Yes</v>
      </c>
    </row>
    <row r="35" spans="1:13" ht="38.25" x14ac:dyDescent="0.25">
      <c r="A35" s="16" t="s">
        <v>632</v>
      </c>
      <c r="B35" s="16" t="s">
        <v>622</v>
      </c>
      <c r="C35" s="16" t="s">
        <v>633</v>
      </c>
      <c r="D35" s="25" t="s">
        <v>572</v>
      </c>
      <c r="E35" s="16" t="s">
        <v>438</v>
      </c>
      <c r="F35" s="16" t="s">
        <v>456</v>
      </c>
      <c r="G35" s="17">
        <v>46082</v>
      </c>
      <c r="H35" s="16" t="s">
        <v>232</v>
      </c>
      <c r="I35" s="16" t="s">
        <v>576</v>
      </c>
      <c r="J35" s="16"/>
      <c r="K35" s="16" t="s">
        <v>437</v>
      </c>
      <c r="L35" s="26">
        <f t="shared" si="0"/>
        <v>1</v>
      </c>
      <c r="M35" s="27" t="str">
        <f>IF(AND(H35&lt;&gt;"Complete",'Branding &amp; Setup'!$B$12&gt;G35),"Yes","No")</f>
        <v>No</v>
      </c>
    </row>
    <row r="36" spans="1:13" ht="38.25" x14ac:dyDescent="0.25">
      <c r="A36" s="16" t="s">
        <v>634</v>
      </c>
      <c r="B36" s="16" t="s">
        <v>622</v>
      </c>
      <c r="C36" s="16" t="s">
        <v>635</v>
      </c>
      <c r="D36" s="25" t="s">
        <v>572</v>
      </c>
      <c r="E36" s="16" t="s">
        <v>438</v>
      </c>
      <c r="F36" s="16" t="s">
        <v>258</v>
      </c>
      <c r="G36" s="17">
        <v>46077</v>
      </c>
      <c r="H36" s="16" t="s">
        <v>232</v>
      </c>
      <c r="I36" s="16" t="s">
        <v>594</v>
      </c>
      <c r="J36" s="16"/>
      <c r="K36" s="16" t="s">
        <v>437</v>
      </c>
      <c r="L36" s="26">
        <f t="shared" si="0"/>
        <v>1</v>
      </c>
      <c r="M36" s="27" t="str">
        <f>IF(AND(H36&lt;&gt;"Complete",'Branding &amp; Setup'!$B$12&gt;G36),"Yes","No")</f>
        <v>No</v>
      </c>
    </row>
    <row r="37" spans="1:13" ht="38.25" x14ac:dyDescent="0.25">
      <c r="A37" s="16" t="s">
        <v>636</v>
      </c>
      <c r="B37" s="16" t="s">
        <v>637</v>
      </c>
      <c r="C37" s="16" t="s">
        <v>638</v>
      </c>
      <c r="D37" s="25" t="s">
        <v>572</v>
      </c>
      <c r="E37" s="16" t="s">
        <v>438</v>
      </c>
      <c r="F37" s="16" t="s">
        <v>456</v>
      </c>
      <c r="G37" s="17">
        <v>46083</v>
      </c>
      <c r="H37" s="16" t="s">
        <v>232</v>
      </c>
      <c r="I37" s="16" t="s">
        <v>581</v>
      </c>
      <c r="J37" s="16"/>
      <c r="K37" s="16" t="s">
        <v>437</v>
      </c>
      <c r="L37" s="26">
        <f t="shared" si="0"/>
        <v>1</v>
      </c>
      <c r="M37" s="27" t="str">
        <f>IF(AND(H37&lt;&gt;"Complete",'Branding &amp; Setup'!$B$12&gt;G37),"Yes","No")</f>
        <v>No</v>
      </c>
    </row>
    <row r="38" spans="1:13" ht="38.25" x14ac:dyDescent="0.25">
      <c r="A38" s="16" t="s">
        <v>639</v>
      </c>
      <c r="B38" s="16" t="s">
        <v>637</v>
      </c>
      <c r="C38" s="16" t="s">
        <v>640</v>
      </c>
      <c r="D38" s="25" t="s">
        <v>572</v>
      </c>
      <c r="E38" s="16" t="s">
        <v>438</v>
      </c>
      <c r="F38" s="16" t="s">
        <v>258</v>
      </c>
      <c r="G38" s="17">
        <v>46079</v>
      </c>
      <c r="H38" s="16" t="s">
        <v>263</v>
      </c>
      <c r="I38" s="16" t="s">
        <v>594</v>
      </c>
      <c r="J38" s="16"/>
      <c r="K38" s="16" t="s">
        <v>437</v>
      </c>
      <c r="L38" s="26">
        <f t="shared" si="0"/>
        <v>0</v>
      </c>
      <c r="M38" s="27" t="str">
        <f>IF(AND(H38&lt;&gt;"Complete",'Branding &amp; Setup'!$B$12&gt;G38),"Yes","No")</f>
        <v>Yes</v>
      </c>
    </row>
    <row r="39" spans="1:13" ht="38.25" x14ac:dyDescent="0.25">
      <c r="A39" s="16" t="s">
        <v>641</v>
      </c>
      <c r="B39" s="16" t="s">
        <v>637</v>
      </c>
      <c r="C39" s="16" t="s">
        <v>642</v>
      </c>
      <c r="D39" s="25" t="s">
        <v>572</v>
      </c>
      <c r="E39" s="16" t="s">
        <v>438</v>
      </c>
      <c r="F39" s="16" t="s">
        <v>456</v>
      </c>
      <c r="G39" s="17">
        <v>46082</v>
      </c>
      <c r="H39" s="16" t="s">
        <v>232</v>
      </c>
      <c r="I39" s="16"/>
      <c r="J39" s="16"/>
      <c r="K39" s="16" t="s">
        <v>437</v>
      </c>
      <c r="L39" s="26">
        <f t="shared" si="0"/>
        <v>1</v>
      </c>
      <c r="M39" s="27" t="str">
        <f>IF(AND(H39&lt;&gt;"Complete",'Branding &amp; Setup'!$B$12&gt;G39),"Yes","No")</f>
        <v>No</v>
      </c>
    </row>
    <row r="40" spans="1:13" ht="38.25" x14ac:dyDescent="0.25">
      <c r="A40" s="16" t="s">
        <v>643</v>
      </c>
      <c r="B40" s="16" t="s">
        <v>637</v>
      </c>
      <c r="C40" s="25" t="s">
        <v>644</v>
      </c>
      <c r="D40" s="25" t="s">
        <v>572</v>
      </c>
      <c r="E40" s="16" t="s">
        <v>438</v>
      </c>
      <c r="F40" s="16" t="s">
        <v>456</v>
      </c>
      <c r="G40" s="17">
        <v>46078</v>
      </c>
      <c r="H40" s="16" t="s">
        <v>263</v>
      </c>
      <c r="I40" s="16" t="s">
        <v>573</v>
      </c>
      <c r="J40" s="16"/>
      <c r="K40" s="16" t="s">
        <v>437</v>
      </c>
      <c r="L40" s="26">
        <f t="shared" si="0"/>
        <v>0</v>
      </c>
      <c r="M40" s="27" t="str">
        <f>IF(AND(H40&lt;&gt;"Complete",'Branding &amp; Setup'!$B$12&gt;G40),"Yes","No")</f>
        <v>Yes</v>
      </c>
    </row>
    <row r="41" spans="1:13" ht="38.25" x14ac:dyDescent="0.25">
      <c r="A41" s="16" t="s">
        <v>645</v>
      </c>
      <c r="B41" s="16" t="s">
        <v>637</v>
      </c>
      <c r="C41" s="16" t="s">
        <v>646</v>
      </c>
      <c r="D41" s="25" t="s">
        <v>572</v>
      </c>
      <c r="E41" s="16" t="s">
        <v>438</v>
      </c>
      <c r="F41" s="16" t="s">
        <v>243</v>
      </c>
      <c r="G41" s="17">
        <v>46079</v>
      </c>
      <c r="H41" s="16" t="s">
        <v>232</v>
      </c>
      <c r="I41" s="16" t="s">
        <v>594</v>
      </c>
      <c r="J41" s="16"/>
      <c r="K41" s="16" t="s">
        <v>437</v>
      </c>
      <c r="L41" s="26">
        <f t="shared" ref="L41:L72" si="1">IF(H41="Complete",1,0)</f>
        <v>1</v>
      </c>
      <c r="M41" s="27" t="str">
        <f>IF(AND(H41&lt;&gt;"Complete",'Branding &amp; Setup'!$B$12&gt;G41),"Yes","No")</f>
        <v>No</v>
      </c>
    </row>
    <row r="42" spans="1:13" ht="38.25" x14ac:dyDescent="0.25">
      <c r="A42" s="16" t="s">
        <v>647</v>
      </c>
      <c r="B42" s="16" t="s">
        <v>637</v>
      </c>
      <c r="C42" s="16" t="s">
        <v>648</v>
      </c>
      <c r="D42" s="25" t="s">
        <v>572</v>
      </c>
      <c r="E42" s="16" t="s">
        <v>438</v>
      </c>
      <c r="F42" s="16" t="s">
        <v>81</v>
      </c>
      <c r="G42" s="17">
        <v>46082</v>
      </c>
      <c r="H42" s="16" t="s">
        <v>263</v>
      </c>
      <c r="I42" s="16" t="s">
        <v>581</v>
      </c>
      <c r="J42" s="16"/>
      <c r="K42" s="16" t="s">
        <v>437</v>
      </c>
      <c r="L42" s="26">
        <f t="shared" si="1"/>
        <v>0</v>
      </c>
      <c r="M42" s="27" t="str">
        <f>IF(AND(H42&lt;&gt;"Complete",'Branding &amp; Setup'!$B$12&gt;G42),"Yes","No")</f>
        <v>Yes</v>
      </c>
    </row>
    <row r="43" spans="1:13" ht="38.25" x14ac:dyDescent="0.25">
      <c r="A43" s="16" t="s">
        <v>649</v>
      </c>
      <c r="B43" s="16" t="s">
        <v>637</v>
      </c>
      <c r="C43" s="16" t="s">
        <v>650</v>
      </c>
      <c r="D43" s="25" t="s">
        <v>572</v>
      </c>
      <c r="E43" s="16" t="s">
        <v>437</v>
      </c>
      <c r="F43" s="16" t="s">
        <v>252</v>
      </c>
      <c r="G43" s="17">
        <v>46082</v>
      </c>
      <c r="H43" s="16" t="s">
        <v>232</v>
      </c>
      <c r="I43" s="16" t="s">
        <v>584</v>
      </c>
      <c r="J43" s="16"/>
      <c r="K43" s="16" t="s">
        <v>437</v>
      </c>
      <c r="L43" s="26">
        <f t="shared" si="1"/>
        <v>1</v>
      </c>
      <c r="M43" s="27" t="str">
        <f>IF(AND(H43&lt;&gt;"Complete",'Branding &amp; Setup'!$B$12&gt;G43),"Yes","No")</f>
        <v>No</v>
      </c>
    </row>
    <row r="44" spans="1:13" ht="38.25" x14ac:dyDescent="0.25">
      <c r="A44" s="16" t="s">
        <v>651</v>
      </c>
      <c r="B44" s="16" t="s">
        <v>652</v>
      </c>
      <c r="C44" s="16" t="s">
        <v>653</v>
      </c>
      <c r="D44" s="25" t="s">
        <v>572</v>
      </c>
      <c r="E44" s="16" t="s">
        <v>438</v>
      </c>
      <c r="F44" s="16" t="s">
        <v>456</v>
      </c>
      <c r="G44" s="17">
        <v>46078</v>
      </c>
      <c r="H44" s="16" t="s">
        <v>232</v>
      </c>
      <c r="I44" s="16" t="s">
        <v>594</v>
      </c>
      <c r="J44" s="16"/>
      <c r="K44" s="16" t="s">
        <v>437</v>
      </c>
      <c r="L44" s="26">
        <f t="shared" si="1"/>
        <v>1</v>
      </c>
      <c r="M44" s="27" t="str">
        <f>IF(AND(H44&lt;&gt;"Complete",'Branding &amp; Setup'!$B$12&gt;G44),"Yes","No")</f>
        <v>No</v>
      </c>
    </row>
    <row r="45" spans="1:13" ht="38.25" x14ac:dyDescent="0.25">
      <c r="A45" s="16" t="s">
        <v>654</v>
      </c>
      <c r="B45" s="16" t="s">
        <v>652</v>
      </c>
      <c r="C45" s="16" t="s">
        <v>655</v>
      </c>
      <c r="D45" s="25" t="s">
        <v>572</v>
      </c>
      <c r="E45" s="16" t="s">
        <v>438</v>
      </c>
      <c r="F45" s="16" t="s">
        <v>81</v>
      </c>
      <c r="G45" s="17">
        <v>46085</v>
      </c>
      <c r="H45" s="16" t="s">
        <v>232</v>
      </c>
      <c r="I45" s="16"/>
      <c r="J45" s="16"/>
      <c r="K45" s="16" t="s">
        <v>437</v>
      </c>
      <c r="L45" s="26">
        <f t="shared" si="1"/>
        <v>1</v>
      </c>
      <c r="M45" s="27" t="str">
        <f>IF(AND(H45&lt;&gt;"Complete",'Branding &amp; Setup'!$B$12&gt;G45),"Yes","No")</f>
        <v>No</v>
      </c>
    </row>
    <row r="46" spans="1:13" ht="38.25" x14ac:dyDescent="0.25">
      <c r="A46" s="16" t="s">
        <v>656</v>
      </c>
      <c r="B46" s="16" t="s">
        <v>652</v>
      </c>
      <c r="C46" s="16" t="s">
        <v>657</v>
      </c>
      <c r="D46" s="25" t="s">
        <v>572</v>
      </c>
      <c r="E46" s="16" t="s">
        <v>438</v>
      </c>
      <c r="F46" s="16" t="s">
        <v>231</v>
      </c>
      <c r="G46" s="17">
        <v>46079</v>
      </c>
      <c r="H46" s="16" t="s">
        <v>232</v>
      </c>
      <c r="I46" s="16" t="s">
        <v>576</v>
      </c>
      <c r="J46" s="16"/>
      <c r="K46" s="16" t="s">
        <v>437</v>
      </c>
      <c r="L46" s="26">
        <f t="shared" si="1"/>
        <v>1</v>
      </c>
      <c r="M46" s="27" t="str">
        <f>IF(AND(H46&lt;&gt;"Complete",'Branding &amp; Setup'!$B$12&gt;G46),"Yes","No")</f>
        <v>No</v>
      </c>
    </row>
    <row r="47" spans="1:13" ht="38.25" x14ac:dyDescent="0.25">
      <c r="A47" s="16" t="s">
        <v>658</v>
      </c>
      <c r="B47" s="16" t="s">
        <v>652</v>
      </c>
      <c r="C47" s="16" t="s">
        <v>659</v>
      </c>
      <c r="D47" s="25" t="s">
        <v>572</v>
      </c>
      <c r="E47" s="16" t="s">
        <v>438</v>
      </c>
      <c r="F47" s="16" t="s">
        <v>252</v>
      </c>
      <c r="G47" s="17">
        <v>46079</v>
      </c>
      <c r="H47" s="16" t="s">
        <v>232</v>
      </c>
      <c r="I47" s="16" t="s">
        <v>594</v>
      </c>
      <c r="J47" s="16"/>
      <c r="K47" s="16" t="s">
        <v>437</v>
      </c>
      <c r="L47" s="26">
        <f t="shared" si="1"/>
        <v>1</v>
      </c>
      <c r="M47" s="27" t="str">
        <f>IF(AND(H47&lt;&gt;"Complete",'Branding &amp; Setup'!$B$12&gt;G47),"Yes","No")</f>
        <v>No</v>
      </c>
    </row>
    <row r="48" spans="1:13" ht="38.25" x14ac:dyDescent="0.25">
      <c r="A48" s="16" t="s">
        <v>660</v>
      </c>
      <c r="B48" s="16" t="s">
        <v>652</v>
      </c>
      <c r="C48" s="16" t="s">
        <v>661</v>
      </c>
      <c r="D48" s="25" t="s">
        <v>572</v>
      </c>
      <c r="E48" s="16" t="s">
        <v>438</v>
      </c>
      <c r="F48" s="16" t="s">
        <v>252</v>
      </c>
      <c r="G48" s="17">
        <v>46080</v>
      </c>
      <c r="H48" s="16" t="s">
        <v>232</v>
      </c>
      <c r="I48" s="16" t="s">
        <v>573</v>
      </c>
      <c r="J48" s="16"/>
      <c r="K48" s="16" t="s">
        <v>437</v>
      </c>
      <c r="L48" s="26">
        <f t="shared" si="1"/>
        <v>1</v>
      </c>
      <c r="M48" s="27" t="str">
        <f>IF(AND(H48&lt;&gt;"Complete",'Branding &amp; Setup'!$B$12&gt;G48),"Yes","No")</f>
        <v>No</v>
      </c>
    </row>
    <row r="49" spans="1:13" ht="38.25" x14ac:dyDescent="0.25">
      <c r="A49" s="16" t="s">
        <v>662</v>
      </c>
      <c r="B49" s="16" t="s">
        <v>652</v>
      </c>
      <c r="C49" s="16" t="s">
        <v>663</v>
      </c>
      <c r="D49" s="25" t="s">
        <v>572</v>
      </c>
      <c r="E49" s="16" t="s">
        <v>438</v>
      </c>
      <c r="F49" s="16" t="s">
        <v>299</v>
      </c>
      <c r="G49" s="17">
        <v>46084</v>
      </c>
      <c r="H49" s="16" t="s">
        <v>232</v>
      </c>
      <c r="I49" s="16" t="s">
        <v>573</v>
      </c>
      <c r="J49" s="16"/>
      <c r="K49" s="16" t="s">
        <v>437</v>
      </c>
      <c r="L49" s="26">
        <f t="shared" si="1"/>
        <v>1</v>
      </c>
      <c r="M49" s="27" t="str">
        <f>IF(AND(H49&lt;&gt;"Complete",'Branding &amp; Setup'!$B$12&gt;G49),"Yes","No")</f>
        <v>No</v>
      </c>
    </row>
    <row r="50" spans="1:13" ht="38.25" x14ac:dyDescent="0.25">
      <c r="A50" s="16" t="s">
        <v>664</v>
      </c>
      <c r="B50" s="16" t="s">
        <v>652</v>
      </c>
      <c r="C50" s="16" t="s">
        <v>665</v>
      </c>
      <c r="D50" s="25" t="s">
        <v>572</v>
      </c>
      <c r="E50" s="16" t="s">
        <v>437</v>
      </c>
      <c r="F50" s="16" t="s">
        <v>299</v>
      </c>
      <c r="G50" s="17">
        <v>46084</v>
      </c>
      <c r="H50" s="16" t="s">
        <v>232</v>
      </c>
      <c r="I50" s="16" t="s">
        <v>581</v>
      </c>
      <c r="J50" s="16"/>
      <c r="K50" s="16" t="s">
        <v>437</v>
      </c>
      <c r="L50" s="26">
        <f t="shared" si="1"/>
        <v>1</v>
      </c>
      <c r="M50" s="27" t="str">
        <f>IF(AND(H50&lt;&gt;"Complete",'Branding &amp; Setup'!$B$12&gt;G50),"Yes","No")</f>
        <v>No</v>
      </c>
    </row>
    <row r="51" spans="1:13" ht="38.25" x14ac:dyDescent="0.25">
      <c r="A51" s="16" t="s">
        <v>666</v>
      </c>
      <c r="B51" s="16" t="s">
        <v>667</v>
      </c>
      <c r="C51" s="16" t="s">
        <v>668</v>
      </c>
      <c r="D51" s="25" t="s">
        <v>572</v>
      </c>
      <c r="E51" s="16" t="s">
        <v>438</v>
      </c>
      <c r="F51" s="16" t="s">
        <v>252</v>
      </c>
      <c r="G51" s="17">
        <v>46084</v>
      </c>
      <c r="H51" s="16" t="s">
        <v>263</v>
      </c>
      <c r="I51" s="16" t="s">
        <v>581</v>
      </c>
      <c r="J51" s="16"/>
      <c r="K51" s="16" t="s">
        <v>437</v>
      </c>
      <c r="L51" s="26">
        <f t="shared" si="1"/>
        <v>0</v>
      </c>
      <c r="M51" s="27" t="str">
        <f>IF(AND(H51&lt;&gt;"Complete",'Branding &amp; Setup'!$B$12&gt;G51),"Yes","No")</f>
        <v>Yes</v>
      </c>
    </row>
    <row r="52" spans="1:13" ht="38.25" x14ac:dyDescent="0.25">
      <c r="A52" s="16" t="s">
        <v>669</v>
      </c>
      <c r="B52" s="16" t="s">
        <v>667</v>
      </c>
      <c r="C52" s="16" t="s">
        <v>670</v>
      </c>
      <c r="D52" s="25" t="s">
        <v>572</v>
      </c>
      <c r="E52" s="16" t="s">
        <v>438</v>
      </c>
      <c r="F52" s="16" t="s">
        <v>79</v>
      </c>
      <c r="G52" s="17">
        <v>46083</v>
      </c>
      <c r="H52" s="16" t="s">
        <v>263</v>
      </c>
      <c r="I52" s="16" t="s">
        <v>584</v>
      </c>
      <c r="J52" s="16"/>
      <c r="K52" s="16" t="s">
        <v>437</v>
      </c>
      <c r="L52" s="26">
        <f t="shared" si="1"/>
        <v>0</v>
      </c>
      <c r="M52" s="27" t="str">
        <f>IF(AND(H52&lt;&gt;"Complete",'Branding &amp; Setup'!$B$12&gt;G52),"Yes","No")</f>
        <v>Yes</v>
      </c>
    </row>
    <row r="53" spans="1:13" ht="38.25" x14ac:dyDescent="0.25">
      <c r="A53" s="16" t="s">
        <v>671</v>
      </c>
      <c r="B53" s="16" t="s">
        <v>667</v>
      </c>
      <c r="C53" s="16" t="s">
        <v>672</v>
      </c>
      <c r="D53" s="25" t="s">
        <v>572</v>
      </c>
      <c r="E53" s="16" t="s">
        <v>438</v>
      </c>
      <c r="F53" s="16" t="s">
        <v>81</v>
      </c>
      <c r="G53" s="17">
        <v>46081</v>
      </c>
      <c r="H53" s="16" t="s">
        <v>263</v>
      </c>
      <c r="I53" s="16"/>
      <c r="J53" s="16"/>
      <c r="K53" s="16" t="s">
        <v>437</v>
      </c>
      <c r="L53" s="26">
        <f t="shared" si="1"/>
        <v>0</v>
      </c>
      <c r="M53" s="27" t="str">
        <f>IF(AND(H53&lt;&gt;"Complete",'Branding &amp; Setup'!$B$12&gt;G53),"Yes","No")</f>
        <v>Yes</v>
      </c>
    </row>
    <row r="54" spans="1:13" ht="38.25" x14ac:dyDescent="0.25">
      <c r="A54" s="16" t="s">
        <v>673</v>
      </c>
      <c r="B54" s="16" t="s">
        <v>667</v>
      </c>
      <c r="C54" s="16" t="s">
        <v>674</v>
      </c>
      <c r="D54" s="25" t="s">
        <v>572</v>
      </c>
      <c r="E54" s="16" t="s">
        <v>438</v>
      </c>
      <c r="F54" s="16" t="s">
        <v>243</v>
      </c>
      <c r="G54" s="17">
        <v>46078</v>
      </c>
      <c r="H54" s="16" t="s">
        <v>232</v>
      </c>
      <c r="I54" s="16" t="s">
        <v>594</v>
      </c>
      <c r="J54" s="16"/>
      <c r="K54" s="16" t="s">
        <v>437</v>
      </c>
      <c r="L54" s="26">
        <f t="shared" si="1"/>
        <v>1</v>
      </c>
      <c r="M54" s="27" t="str">
        <f>IF(AND(H54&lt;&gt;"Complete",'Branding &amp; Setup'!$B$12&gt;G54),"Yes","No")</f>
        <v>No</v>
      </c>
    </row>
    <row r="55" spans="1:13" ht="38.25" x14ac:dyDescent="0.25">
      <c r="A55" s="16" t="s">
        <v>675</v>
      </c>
      <c r="B55" s="16" t="s">
        <v>667</v>
      </c>
      <c r="C55" s="25" t="s">
        <v>676</v>
      </c>
      <c r="D55" s="25" t="s">
        <v>572</v>
      </c>
      <c r="E55" s="16" t="s">
        <v>438</v>
      </c>
      <c r="F55" s="16" t="s">
        <v>252</v>
      </c>
      <c r="G55" s="17">
        <v>46081</v>
      </c>
      <c r="H55" s="16" t="s">
        <v>232</v>
      </c>
      <c r="I55" s="16" t="s">
        <v>573</v>
      </c>
      <c r="J55" s="16"/>
      <c r="K55" s="16" t="s">
        <v>437</v>
      </c>
      <c r="L55" s="26">
        <f t="shared" si="1"/>
        <v>1</v>
      </c>
      <c r="M55" s="27" t="str">
        <f>IF(AND(H55&lt;&gt;"Complete",'Branding &amp; Setup'!$B$12&gt;G55),"Yes","No")</f>
        <v>No</v>
      </c>
    </row>
    <row r="56" spans="1:13" ht="38.25" x14ac:dyDescent="0.25">
      <c r="A56" s="16" t="s">
        <v>677</v>
      </c>
      <c r="B56" s="16" t="s">
        <v>667</v>
      </c>
      <c r="C56" s="16" t="s">
        <v>678</v>
      </c>
      <c r="D56" s="25" t="s">
        <v>572</v>
      </c>
      <c r="E56" s="16" t="s">
        <v>438</v>
      </c>
      <c r="F56" s="16" t="s">
        <v>252</v>
      </c>
      <c r="G56" s="17">
        <v>46080</v>
      </c>
      <c r="H56" s="16" t="s">
        <v>232</v>
      </c>
      <c r="I56" s="16" t="s">
        <v>581</v>
      </c>
      <c r="J56" s="16"/>
      <c r="K56" s="16" t="s">
        <v>437</v>
      </c>
      <c r="L56" s="26">
        <f t="shared" si="1"/>
        <v>1</v>
      </c>
      <c r="M56" s="27" t="str">
        <f>IF(AND(H56&lt;&gt;"Complete",'Branding &amp; Setup'!$B$12&gt;G56),"Yes","No")</f>
        <v>No</v>
      </c>
    </row>
    <row r="57" spans="1:13" ht="38.25" x14ac:dyDescent="0.25">
      <c r="A57" s="16" t="s">
        <v>679</v>
      </c>
      <c r="B57" s="16" t="s">
        <v>667</v>
      </c>
      <c r="C57" s="16" t="s">
        <v>680</v>
      </c>
      <c r="D57" s="25" t="s">
        <v>572</v>
      </c>
      <c r="E57" s="16" t="s">
        <v>438</v>
      </c>
      <c r="F57" s="16" t="s">
        <v>243</v>
      </c>
      <c r="G57" s="17">
        <v>46083</v>
      </c>
      <c r="H57" s="16" t="s">
        <v>266</v>
      </c>
      <c r="I57" s="16" t="s">
        <v>581</v>
      </c>
      <c r="J57" s="16" t="s">
        <v>603</v>
      </c>
      <c r="K57" s="16" t="s">
        <v>438</v>
      </c>
      <c r="L57" s="26">
        <f t="shared" si="1"/>
        <v>0</v>
      </c>
      <c r="M57" s="27" t="str">
        <f>IF(AND(H57&lt;&gt;"Complete",'Branding &amp; Setup'!$B$12&gt;G57),"Yes","No")</f>
        <v>Yes</v>
      </c>
    </row>
    <row r="58" spans="1:13" ht="38.25" x14ac:dyDescent="0.25">
      <c r="A58" s="16" t="s">
        <v>681</v>
      </c>
      <c r="B58" s="16" t="s">
        <v>682</v>
      </c>
      <c r="C58" s="16" t="s">
        <v>683</v>
      </c>
      <c r="D58" s="25" t="s">
        <v>572</v>
      </c>
      <c r="E58" s="16" t="s">
        <v>438</v>
      </c>
      <c r="F58" s="16" t="s">
        <v>258</v>
      </c>
      <c r="G58" s="17">
        <v>46077</v>
      </c>
      <c r="H58" s="16" t="s">
        <v>197</v>
      </c>
      <c r="I58" s="16" t="s">
        <v>594</v>
      </c>
      <c r="J58" s="16" t="s">
        <v>603</v>
      </c>
      <c r="K58" s="16" t="s">
        <v>438</v>
      </c>
      <c r="L58" s="26">
        <f t="shared" si="1"/>
        <v>0</v>
      </c>
      <c r="M58" s="27" t="str">
        <f>IF(AND(H58&lt;&gt;"Complete",'Branding &amp; Setup'!$B$12&gt;G58),"Yes","No")</f>
        <v>Yes</v>
      </c>
    </row>
    <row r="59" spans="1:13" ht="38.25" x14ac:dyDescent="0.25">
      <c r="A59" s="16" t="s">
        <v>684</v>
      </c>
      <c r="B59" s="16" t="s">
        <v>682</v>
      </c>
      <c r="C59" s="25" t="s">
        <v>685</v>
      </c>
      <c r="D59" s="25" t="s">
        <v>572</v>
      </c>
      <c r="E59" s="16" t="s">
        <v>438</v>
      </c>
      <c r="F59" s="16" t="s">
        <v>79</v>
      </c>
      <c r="G59" s="17">
        <v>46079</v>
      </c>
      <c r="H59" s="16" t="s">
        <v>263</v>
      </c>
      <c r="I59" s="16" t="s">
        <v>594</v>
      </c>
      <c r="J59" s="16"/>
      <c r="K59" s="16" t="s">
        <v>437</v>
      </c>
      <c r="L59" s="26">
        <f t="shared" si="1"/>
        <v>0</v>
      </c>
      <c r="M59" s="27" t="str">
        <f>IF(AND(H59&lt;&gt;"Complete",'Branding &amp; Setup'!$B$12&gt;G59),"Yes","No")</f>
        <v>Yes</v>
      </c>
    </row>
    <row r="60" spans="1:13" ht="38.25" x14ac:dyDescent="0.25">
      <c r="A60" s="16" t="s">
        <v>686</v>
      </c>
      <c r="B60" s="16" t="s">
        <v>682</v>
      </c>
      <c r="C60" s="16" t="s">
        <v>687</v>
      </c>
      <c r="D60" s="25" t="s">
        <v>572</v>
      </c>
      <c r="E60" s="16" t="s">
        <v>437</v>
      </c>
      <c r="F60" s="16" t="s">
        <v>252</v>
      </c>
      <c r="G60" s="17">
        <v>46079</v>
      </c>
      <c r="H60" s="16" t="s">
        <v>232</v>
      </c>
      <c r="I60" s="16" t="s">
        <v>576</v>
      </c>
      <c r="J60" s="16"/>
      <c r="K60" s="16" t="s">
        <v>437</v>
      </c>
      <c r="L60" s="26">
        <f t="shared" si="1"/>
        <v>1</v>
      </c>
      <c r="M60" s="27" t="str">
        <f>IF(AND(H60&lt;&gt;"Complete",'Branding &amp; Setup'!$B$12&gt;G60),"Yes","No")</f>
        <v>No</v>
      </c>
    </row>
    <row r="61" spans="1:13" ht="38.25" x14ac:dyDescent="0.25">
      <c r="A61" s="16" t="s">
        <v>688</v>
      </c>
      <c r="B61" s="16" t="s">
        <v>682</v>
      </c>
      <c r="C61" s="16" t="s">
        <v>689</v>
      </c>
      <c r="D61" s="25" t="s">
        <v>572</v>
      </c>
      <c r="E61" s="16" t="s">
        <v>437</v>
      </c>
      <c r="F61" s="16" t="s">
        <v>456</v>
      </c>
      <c r="G61" s="17">
        <v>46077</v>
      </c>
      <c r="H61" s="16" t="s">
        <v>263</v>
      </c>
      <c r="I61" s="16" t="s">
        <v>584</v>
      </c>
      <c r="J61" s="16"/>
      <c r="K61" s="16" t="s">
        <v>437</v>
      </c>
      <c r="L61" s="26">
        <f t="shared" si="1"/>
        <v>0</v>
      </c>
      <c r="M61" s="27" t="str">
        <f>IF(AND(H61&lt;&gt;"Complete",'Branding &amp; Setup'!$B$12&gt;G61),"Yes","No")</f>
        <v>Yes</v>
      </c>
    </row>
    <row r="62" spans="1:13" ht="38.25" x14ac:dyDescent="0.25">
      <c r="A62" s="16" t="s">
        <v>690</v>
      </c>
      <c r="B62" s="16" t="s">
        <v>682</v>
      </c>
      <c r="C62" s="16" t="s">
        <v>691</v>
      </c>
      <c r="D62" s="25" t="s">
        <v>572</v>
      </c>
      <c r="E62" s="16" t="s">
        <v>438</v>
      </c>
      <c r="F62" s="16" t="s">
        <v>241</v>
      </c>
      <c r="G62" s="17">
        <v>46085</v>
      </c>
      <c r="H62" s="16" t="s">
        <v>263</v>
      </c>
      <c r="I62" s="16" t="s">
        <v>594</v>
      </c>
      <c r="J62" s="16"/>
      <c r="K62" s="16" t="s">
        <v>437</v>
      </c>
      <c r="L62" s="26">
        <f t="shared" si="1"/>
        <v>0</v>
      </c>
      <c r="M62" s="27" t="str">
        <f>IF(AND(H62&lt;&gt;"Complete",'Branding &amp; Setup'!$B$12&gt;G62),"Yes","No")</f>
        <v>Yes</v>
      </c>
    </row>
    <row r="63" spans="1:13" ht="38.25" x14ac:dyDescent="0.25">
      <c r="A63" s="16" t="s">
        <v>692</v>
      </c>
      <c r="B63" s="16" t="s">
        <v>682</v>
      </c>
      <c r="C63" s="25" t="s">
        <v>693</v>
      </c>
      <c r="D63" s="25" t="s">
        <v>572</v>
      </c>
      <c r="E63" s="16" t="s">
        <v>438</v>
      </c>
      <c r="F63" s="16" t="s">
        <v>81</v>
      </c>
      <c r="G63" s="17">
        <v>46078</v>
      </c>
      <c r="H63" s="16" t="s">
        <v>263</v>
      </c>
      <c r="I63" s="16" t="s">
        <v>584</v>
      </c>
      <c r="J63" s="16"/>
      <c r="K63" s="16" t="s">
        <v>437</v>
      </c>
      <c r="L63" s="26">
        <f t="shared" si="1"/>
        <v>0</v>
      </c>
      <c r="M63" s="27" t="str">
        <f>IF(AND(H63&lt;&gt;"Complete",'Branding &amp; Setup'!$B$12&gt;G63),"Yes","No")</f>
        <v>Yes</v>
      </c>
    </row>
    <row r="64" spans="1:13" ht="38.25" x14ac:dyDescent="0.25">
      <c r="A64" s="16" t="s">
        <v>694</v>
      </c>
      <c r="B64" s="16" t="s">
        <v>682</v>
      </c>
      <c r="C64" s="16" t="s">
        <v>695</v>
      </c>
      <c r="D64" s="25" t="s">
        <v>572</v>
      </c>
      <c r="E64" s="16" t="s">
        <v>438</v>
      </c>
      <c r="F64" s="16" t="s">
        <v>269</v>
      </c>
      <c r="G64" s="17">
        <v>46084</v>
      </c>
      <c r="H64" s="16" t="s">
        <v>232</v>
      </c>
      <c r="I64" s="16" t="s">
        <v>594</v>
      </c>
      <c r="J64" s="16"/>
      <c r="K64" s="16" t="s">
        <v>437</v>
      </c>
      <c r="L64" s="26">
        <f t="shared" si="1"/>
        <v>1</v>
      </c>
      <c r="M64" s="27" t="str">
        <f>IF(AND(H64&lt;&gt;"Complete",'Branding &amp; Setup'!$B$12&gt;G64),"Yes","No")</f>
        <v>No</v>
      </c>
    </row>
    <row r="65" spans="1:13" ht="38.25" x14ac:dyDescent="0.25">
      <c r="A65" s="16" t="s">
        <v>696</v>
      </c>
      <c r="B65" s="16" t="s">
        <v>697</v>
      </c>
      <c r="C65" s="16" t="s">
        <v>698</v>
      </c>
      <c r="D65" s="25" t="s">
        <v>572</v>
      </c>
      <c r="E65" s="16" t="s">
        <v>438</v>
      </c>
      <c r="F65" s="16" t="s">
        <v>81</v>
      </c>
      <c r="G65" s="17">
        <v>46085</v>
      </c>
      <c r="H65" s="16" t="s">
        <v>263</v>
      </c>
      <c r="I65" s="16"/>
      <c r="J65" s="16"/>
      <c r="K65" s="16" t="s">
        <v>437</v>
      </c>
      <c r="L65" s="26">
        <f t="shared" si="1"/>
        <v>0</v>
      </c>
      <c r="M65" s="27" t="str">
        <f>IF(AND(H65&lt;&gt;"Complete",'Branding &amp; Setup'!$B$12&gt;G65),"Yes","No")</f>
        <v>Yes</v>
      </c>
    </row>
    <row r="66" spans="1:13" ht="38.25" x14ac:dyDescent="0.25">
      <c r="A66" s="16" t="s">
        <v>699</v>
      </c>
      <c r="B66" s="16" t="s">
        <v>697</v>
      </c>
      <c r="C66" s="16" t="s">
        <v>700</v>
      </c>
      <c r="D66" s="25" t="s">
        <v>572</v>
      </c>
      <c r="E66" s="16" t="s">
        <v>438</v>
      </c>
      <c r="F66" s="16" t="s">
        <v>456</v>
      </c>
      <c r="G66" s="17">
        <v>46079</v>
      </c>
      <c r="H66" s="16" t="s">
        <v>232</v>
      </c>
      <c r="I66" s="16" t="s">
        <v>576</v>
      </c>
      <c r="J66" s="16"/>
      <c r="K66" s="16" t="s">
        <v>437</v>
      </c>
      <c r="L66" s="26">
        <f t="shared" si="1"/>
        <v>1</v>
      </c>
      <c r="M66" s="27" t="str">
        <f>IF(AND(H66&lt;&gt;"Complete",'Branding &amp; Setup'!$B$12&gt;G66),"Yes","No")</f>
        <v>No</v>
      </c>
    </row>
    <row r="67" spans="1:13" ht="38.25" x14ac:dyDescent="0.25">
      <c r="A67" s="16" t="s">
        <v>701</v>
      </c>
      <c r="B67" s="16" t="s">
        <v>697</v>
      </c>
      <c r="C67" s="16" t="s">
        <v>702</v>
      </c>
      <c r="D67" s="25" t="s">
        <v>572</v>
      </c>
      <c r="E67" s="16" t="s">
        <v>438</v>
      </c>
      <c r="F67" s="16" t="s">
        <v>79</v>
      </c>
      <c r="G67" s="17">
        <v>46083</v>
      </c>
      <c r="H67" s="16" t="s">
        <v>232</v>
      </c>
      <c r="I67" s="16"/>
      <c r="J67" s="16"/>
      <c r="K67" s="16" t="s">
        <v>437</v>
      </c>
      <c r="L67" s="26">
        <f t="shared" si="1"/>
        <v>1</v>
      </c>
      <c r="M67" s="27" t="str">
        <f>IF(AND(H67&lt;&gt;"Complete",'Branding &amp; Setup'!$B$12&gt;G67),"Yes","No")</f>
        <v>No</v>
      </c>
    </row>
    <row r="68" spans="1:13" ht="38.25" x14ac:dyDescent="0.25">
      <c r="A68" s="16" t="s">
        <v>703</v>
      </c>
      <c r="B68" s="16" t="s">
        <v>697</v>
      </c>
      <c r="C68" s="16" t="s">
        <v>704</v>
      </c>
      <c r="D68" s="25" t="s">
        <v>572</v>
      </c>
      <c r="E68" s="16" t="s">
        <v>438</v>
      </c>
      <c r="F68" s="16" t="s">
        <v>269</v>
      </c>
      <c r="G68" s="17">
        <v>46082</v>
      </c>
      <c r="H68" s="16" t="s">
        <v>263</v>
      </c>
      <c r="I68" s="16" t="s">
        <v>573</v>
      </c>
      <c r="J68" s="16"/>
      <c r="K68" s="16" t="s">
        <v>437</v>
      </c>
      <c r="L68" s="26">
        <f t="shared" si="1"/>
        <v>0</v>
      </c>
      <c r="M68" s="27" t="str">
        <f>IF(AND(H68&lt;&gt;"Complete",'Branding &amp; Setup'!$B$12&gt;G68),"Yes","No")</f>
        <v>Yes</v>
      </c>
    </row>
    <row r="69" spans="1:13" ht="38.25" x14ac:dyDescent="0.25">
      <c r="A69" s="16" t="s">
        <v>705</v>
      </c>
      <c r="B69" s="16" t="s">
        <v>697</v>
      </c>
      <c r="C69" s="16" t="s">
        <v>706</v>
      </c>
      <c r="D69" s="25" t="s">
        <v>572</v>
      </c>
      <c r="E69" s="16" t="s">
        <v>438</v>
      </c>
      <c r="F69" s="16" t="s">
        <v>243</v>
      </c>
      <c r="G69" s="17">
        <v>46085</v>
      </c>
      <c r="H69" s="16" t="s">
        <v>232</v>
      </c>
      <c r="I69" s="16" t="s">
        <v>594</v>
      </c>
      <c r="J69" s="16"/>
      <c r="K69" s="16" t="s">
        <v>437</v>
      </c>
      <c r="L69" s="26">
        <f t="shared" si="1"/>
        <v>1</v>
      </c>
      <c r="M69" s="27" t="str">
        <f>IF(AND(H69&lt;&gt;"Complete",'Branding &amp; Setup'!$B$12&gt;G69),"Yes","No")</f>
        <v>No</v>
      </c>
    </row>
    <row r="70" spans="1:13" ht="38.25" x14ac:dyDescent="0.25">
      <c r="A70" s="16" t="s">
        <v>707</v>
      </c>
      <c r="B70" s="16" t="s">
        <v>697</v>
      </c>
      <c r="C70" s="16" t="s">
        <v>708</v>
      </c>
      <c r="D70" s="25" t="s">
        <v>572</v>
      </c>
      <c r="E70" s="16" t="s">
        <v>438</v>
      </c>
      <c r="F70" s="16" t="s">
        <v>258</v>
      </c>
      <c r="G70" s="17">
        <v>46083</v>
      </c>
      <c r="H70" s="16" t="s">
        <v>232</v>
      </c>
      <c r="I70" s="16" t="s">
        <v>581</v>
      </c>
      <c r="J70" s="16"/>
      <c r="K70" s="16" t="s">
        <v>437</v>
      </c>
      <c r="L70" s="26">
        <f t="shared" si="1"/>
        <v>1</v>
      </c>
      <c r="M70" s="27" t="str">
        <f>IF(AND(H70&lt;&gt;"Complete",'Branding &amp; Setup'!$B$12&gt;G70),"Yes","No")</f>
        <v>No</v>
      </c>
    </row>
    <row r="71" spans="1:13" ht="38.25" x14ac:dyDescent="0.25">
      <c r="A71" s="16" t="s">
        <v>709</v>
      </c>
      <c r="B71" s="16" t="s">
        <v>697</v>
      </c>
      <c r="C71" s="25" t="s">
        <v>710</v>
      </c>
      <c r="D71" s="25" t="s">
        <v>572</v>
      </c>
      <c r="E71" s="16" t="s">
        <v>438</v>
      </c>
      <c r="F71" s="16" t="s">
        <v>258</v>
      </c>
      <c r="G71" s="17">
        <v>46078</v>
      </c>
      <c r="H71" s="16" t="s">
        <v>263</v>
      </c>
      <c r="I71" s="16" t="s">
        <v>584</v>
      </c>
      <c r="J71" s="16"/>
      <c r="K71" s="16" t="s">
        <v>437</v>
      </c>
      <c r="L71" s="26">
        <f t="shared" si="1"/>
        <v>0</v>
      </c>
      <c r="M71" s="27" t="str">
        <f>IF(AND(H71&lt;&gt;"Complete",'Branding &amp; Setup'!$B$12&gt;G71),"Yes","No")</f>
        <v>Yes</v>
      </c>
    </row>
    <row r="72" spans="1:13" ht="38.25" x14ac:dyDescent="0.25">
      <c r="A72" s="16" t="s">
        <v>711</v>
      </c>
      <c r="B72" s="16" t="s">
        <v>712</v>
      </c>
      <c r="C72" s="16" t="s">
        <v>713</v>
      </c>
      <c r="D72" s="25" t="s">
        <v>572</v>
      </c>
      <c r="E72" s="16" t="s">
        <v>438</v>
      </c>
      <c r="F72" s="16" t="s">
        <v>79</v>
      </c>
      <c r="G72" s="17">
        <v>46082</v>
      </c>
      <c r="H72" s="16" t="s">
        <v>263</v>
      </c>
      <c r="I72" s="16" t="s">
        <v>594</v>
      </c>
      <c r="J72" s="16"/>
      <c r="K72" s="16" t="s">
        <v>437</v>
      </c>
      <c r="L72" s="26">
        <f t="shared" si="1"/>
        <v>0</v>
      </c>
      <c r="M72" s="27" t="str">
        <f>IF(AND(H72&lt;&gt;"Complete",'Branding &amp; Setup'!$B$12&gt;G72),"Yes","No")</f>
        <v>Yes</v>
      </c>
    </row>
    <row r="73" spans="1:13" ht="38.25" x14ac:dyDescent="0.25">
      <c r="A73" s="16" t="s">
        <v>714</v>
      </c>
      <c r="B73" s="16" t="s">
        <v>712</v>
      </c>
      <c r="C73" s="16" t="s">
        <v>715</v>
      </c>
      <c r="D73" s="25" t="s">
        <v>572</v>
      </c>
      <c r="E73" s="16" t="s">
        <v>438</v>
      </c>
      <c r="F73" s="16" t="s">
        <v>252</v>
      </c>
      <c r="G73" s="17">
        <v>46079</v>
      </c>
      <c r="H73" s="16" t="s">
        <v>232</v>
      </c>
      <c r="I73" s="16"/>
      <c r="J73" s="16"/>
      <c r="K73" s="16" t="s">
        <v>437</v>
      </c>
      <c r="L73" s="26">
        <f t="shared" ref="L73:L78" si="2">IF(H73="Complete",1,0)</f>
        <v>1</v>
      </c>
      <c r="M73" s="27" t="str">
        <f>IF(AND(H73&lt;&gt;"Complete",'Branding &amp; Setup'!$B$12&gt;G73),"Yes","No")</f>
        <v>No</v>
      </c>
    </row>
    <row r="74" spans="1:13" ht="38.25" x14ac:dyDescent="0.25">
      <c r="A74" s="16" t="s">
        <v>716</v>
      </c>
      <c r="B74" s="16" t="s">
        <v>712</v>
      </c>
      <c r="C74" s="16" t="s">
        <v>717</v>
      </c>
      <c r="D74" s="25" t="s">
        <v>572</v>
      </c>
      <c r="E74" s="16" t="s">
        <v>438</v>
      </c>
      <c r="F74" s="16" t="s">
        <v>269</v>
      </c>
      <c r="G74" s="17">
        <v>46079</v>
      </c>
      <c r="H74" s="16" t="s">
        <v>232</v>
      </c>
      <c r="I74" s="16"/>
      <c r="J74" s="16"/>
      <c r="K74" s="16" t="s">
        <v>437</v>
      </c>
      <c r="L74" s="26">
        <f t="shared" si="2"/>
        <v>1</v>
      </c>
      <c r="M74" s="27" t="str">
        <f>IF(AND(H74&lt;&gt;"Complete",'Branding &amp; Setup'!$B$12&gt;G74),"Yes","No")</f>
        <v>No</v>
      </c>
    </row>
    <row r="75" spans="1:13" ht="38.25" x14ac:dyDescent="0.25">
      <c r="A75" s="16" t="s">
        <v>718</v>
      </c>
      <c r="B75" s="16" t="s">
        <v>712</v>
      </c>
      <c r="C75" s="16" t="s">
        <v>719</v>
      </c>
      <c r="D75" s="25" t="s">
        <v>572</v>
      </c>
      <c r="E75" s="16" t="s">
        <v>438</v>
      </c>
      <c r="F75" s="16" t="s">
        <v>299</v>
      </c>
      <c r="G75" s="17">
        <v>46081</v>
      </c>
      <c r="H75" s="16" t="s">
        <v>263</v>
      </c>
      <c r="I75" s="16" t="s">
        <v>594</v>
      </c>
      <c r="J75" s="16"/>
      <c r="K75" s="16" t="s">
        <v>437</v>
      </c>
      <c r="L75" s="26">
        <f t="shared" si="2"/>
        <v>0</v>
      </c>
      <c r="M75" s="27" t="str">
        <f>IF(AND(H75&lt;&gt;"Complete",'Branding &amp; Setup'!$B$12&gt;G75),"Yes","No")</f>
        <v>Yes</v>
      </c>
    </row>
    <row r="76" spans="1:13" ht="38.25" x14ac:dyDescent="0.25">
      <c r="A76" s="16" t="s">
        <v>720</v>
      </c>
      <c r="B76" s="16" t="s">
        <v>712</v>
      </c>
      <c r="C76" s="16" t="s">
        <v>721</v>
      </c>
      <c r="D76" s="25" t="s">
        <v>572</v>
      </c>
      <c r="E76" s="16" t="s">
        <v>437</v>
      </c>
      <c r="F76" s="16" t="s">
        <v>456</v>
      </c>
      <c r="G76" s="17">
        <v>46082</v>
      </c>
      <c r="H76" s="16" t="s">
        <v>263</v>
      </c>
      <c r="I76" s="16" t="s">
        <v>573</v>
      </c>
      <c r="J76" s="16"/>
      <c r="K76" s="16" t="s">
        <v>437</v>
      </c>
      <c r="L76" s="26">
        <f t="shared" si="2"/>
        <v>0</v>
      </c>
      <c r="M76" s="27" t="str">
        <f>IF(AND(H76&lt;&gt;"Complete",'Branding &amp; Setup'!$B$12&gt;G76),"Yes","No")</f>
        <v>Yes</v>
      </c>
    </row>
    <row r="77" spans="1:13" ht="38.25" x14ac:dyDescent="0.25">
      <c r="A77" s="16" t="s">
        <v>722</v>
      </c>
      <c r="B77" s="16" t="s">
        <v>712</v>
      </c>
      <c r="C77" s="16" t="s">
        <v>723</v>
      </c>
      <c r="D77" s="25" t="s">
        <v>572</v>
      </c>
      <c r="E77" s="16" t="s">
        <v>437</v>
      </c>
      <c r="F77" s="16" t="s">
        <v>456</v>
      </c>
      <c r="G77" s="17">
        <v>46084</v>
      </c>
      <c r="H77" s="16" t="s">
        <v>232</v>
      </c>
      <c r="I77" s="16" t="s">
        <v>594</v>
      </c>
      <c r="J77" s="16"/>
      <c r="K77" s="16" t="s">
        <v>437</v>
      </c>
      <c r="L77" s="26">
        <f t="shared" si="2"/>
        <v>1</v>
      </c>
      <c r="M77" s="27" t="str">
        <f>IF(AND(H77&lt;&gt;"Complete",'Branding &amp; Setup'!$B$12&gt;G77),"Yes","No")</f>
        <v>No</v>
      </c>
    </row>
    <row r="78" spans="1:13" ht="38.25" x14ac:dyDescent="0.25">
      <c r="A78" s="16" t="s">
        <v>724</v>
      </c>
      <c r="B78" s="16" t="s">
        <v>712</v>
      </c>
      <c r="C78" s="16" t="s">
        <v>725</v>
      </c>
      <c r="D78" s="25" t="s">
        <v>572</v>
      </c>
      <c r="E78" s="16" t="s">
        <v>438</v>
      </c>
      <c r="F78" s="16" t="s">
        <v>81</v>
      </c>
      <c r="G78" s="17">
        <v>46082</v>
      </c>
      <c r="H78" s="16" t="s">
        <v>263</v>
      </c>
      <c r="I78" s="16"/>
      <c r="J78" s="16"/>
      <c r="K78" s="16" t="s">
        <v>437</v>
      </c>
      <c r="L78" s="26">
        <f t="shared" si="2"/>
        <v>0</v>
      </c>
      <c r="M78" s="27" t="str">
        <f>IF(AND(H78&lt;&gt;"Complete",'Branding &amp; Setup'!$B$12&gt;G78),"Yes","No")</f>
        <v>Yes</v>
      </c>
    </row>
  </sheetData>
  <autoFilter ref="A8:M78" xr:uid="{00000000-0009-0000-0000-00000C000000}"/>
  <mergeCells count="3">
    <mergeCell ref="A1:M1"/>
    <mergeCell ref="A2:M2"/>
    <mergeCell ref="A4:M6"/>
  </mergeCells>
  <conditionalFormatting sqref="E9:E78">
    <cfRule type="expression" dxfId="68" priority="7">
      <formula>$E9="Yes"</formula>
    </cfRule>
    <cfRule type="expression" dxfId="67" priority="8">
      <formula>$E9="No"</formula>
    </cfRule>
  </conditionalFormatting>
  <conditionalFormatting sqref="H9:H78">
    <cfRule type="expression" dxfId="66" priority="2">
      <formula>$H9="Complete"</formula>
    </cfRule>
    <cfRule type="expression" dxfId="65" priority="3">
      <formula>$H9="In Progress"</formula>
    </cfRule>
    <cfRule type="expression" dxfId="64" priority="4">
      <formula>$H9="Blocked"</formula>
    </cfRule>
    <cfRule type="expression" dxfId="63" priority="5">
      <formula>$H9="Not Started"</formula>
    </cfRule>
    <cfRule type="expression" dxfId="62" priority="6">
      <formula>$H9="Not Applicable"</formula>
    </cfRule>
  </conditionalFormatting>
  <conditionalFormatting sqref="K9:K78">
    <cfRule type="expression" dxfId="61" priority="9">
      <formula>$K9="Yes"</formula>
    </cfRule>
    <cfRule type="expression" dxfId="60" priority="10">
      <formula>$K9="No"</formula>
    </cfRule>
  </conditionalFormatting>
  <conditionalFormatting sqref="M9:M78">
    <cfRule type="expression" dxfId="59" priority="11">
      <formula>$M9="Yes"</formula>
    </cfRule>
    <cfRule type="expression" dxfId="58" priority="12">
      <formula>$M9="No"</formula>
    </cfRule>
  </conditionalFormatting>
  <dataValidations count="4">
    <dataValidation type="list" allowBlank="1" sqref="H9:H78" xr:uid="{00000000-0002-0000-0C00-000000000000}">
      <formula1>ReadinessStatus</formula1>
      <formula2>0</formula2>
    </dataValidation>
    <dataValidation type="list" allowBlank="1" sqref="B9:B78" xr:uid="{00000000-0002-0000-0C00-000001000000}">
      <formula1>ReadinessCategories</formula1>
      <formula2>0</formula2>
    </dataValidation>
    <dataValidation type="list" allowBlank="1" sqref="E9:E78 K9:K78" xr:uid="{00000000-0002-0000-0C00-000002000000}">
      <formula1>YesNo</formula1>
      <formula2>0</formula2>
    </dataValidation>
    <dataValidation type="list" allowBlank="1" sqref="F9:F78" xr:uid="{00000000-0002-0000-0C00-000003000000}">
      <formula1>Owners</formula1>
      <formula2>0</formula2>
    </dataValidation>
  </dataValidations>
  <hyperlinks>
    <hyperlink ref="A3" r:id="rId1" location="'Start%20Here'!A1" xr:uid="{00000000-0004-0000-0C00-000000000000}"/>
    <hyperlink ref="B3" r:id="rId2" location="'UAT%20Overview'!A1" xr:uid="{00000000-0004-0000-0C00-000001000000}"/>
    <hyperlink ref="C3" r:id="rId3" location="'Executive%20Dashboard'!A1" xr:uid="{00000000-0004-0000-0C00-000002000000}"/>
    <hyperlink ref="D3" r:id="rId4" location="'Operational%20Dashboard'!A1" xr:uid="{00000000-0004-0000-0C00-000003000000}"/>
    <hyperlink ref="E3" r:id="rId5" location="'Readiness%20Checklist'!A1" xr:uid="{00000000-0004-0000-0C00-000004000000}"/>
  </hyperlink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88"/>
  <sheetViews>
    <sheetView zoomScaleNormal="100" workbookViewId="0">
      <pane ySplit="8" topLeftCell="A9" activePane="bottomLeft" state="frozen"/>
      <selection pane="bottomLeft" sqref="A1:Q1"/>
    </sheetView>
  </sheetViews>
  <sheetFormatPr defaultColWidth="8.7109375" defaultRowHeight="15" customHeight="1" x14ac:dyDescent="0.25"/>
  <cols>
    <col min="1" max="1" width="12" customWidth="1"/>
    <col min="2" max="2" width="38" customWidth="1"/>
    <col min="3" max="3" width="20" customWidth="1"/>
    <col min="4" max="4" width="18" customWidth="1"/>
    <col min="5" max="5" width="14" customWidth="1"/>
    <col min="6" max="7" width="12" customWidth="1"/>
    <col min="8" max="8" width="18" customWidth="1"/>
    <col min="9" max="9" width="20" customWidth="1"/>
    <col min="10" max="10" width="24" customWidth="1"/>
    <col min="11" max="11" width="20" customWidth="1"/>
    <col min="12" max="12" width="14" customWidth="1"/>
    <col min="13" max="13" width="12" customWidth="1"/>
    <col min="14" max="15" width="10" customWidth="1"/>
    <col min="16" max="16" width="12" customWidth="1"/>
    <col min="17" max="17" width="24" customWidth="1"/>
  </cols>
  <sheetData>
    <row r="1" spans="1:17" ht="25.5" customHeight="1" x14ac:dyDescent="0.25">
      <c r="A1" s="12" t="str">
        <f>'Branding &amp; Setup'!$B$9 &amp; " | Scenario Register"</f>
        <v>Northbridge Citizens Services | Scenario Register</v>
      </c>
      <c r="B1" s="12"/>
      <c r="C1" s="12"/>
      <c r="D1" s="12"/>
      <c r="E1" s="12"/>
      <c r="F1" s="12"/>
      <c r="G1" s="12"/>
      <c r="H1" s="12"/>
      <c r="I1" s="12"/>
      <c r="J1" s="12"/>
      <c r="K1" s="12"/>
      <c r="L1" s="12"/>
      <c r="M1" s="12"/>
      <c r="N1" s="12"/>
      <c r="O1" s="12"/>
      <c r="P1" s="12"/>
      <c r="Q1" s="12"/>
    </row>
    <row r="2" spans="1:17"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c r="O2" s="11"/>
      <c r="P2" s="11"/>
      <c r="Q2" s="11"/>
    </row>
    <row r="3" spans="1:17" ht="18" customHeight="1" x14ac:dyDescent="0.25">
      <c r="A3" s="13" t="s">
        <v>0</v>
      </c>
      <c r="B3" s="13" t="s">
        <v>1</v>
      </c>
      <c r="C3" s="13" t="s">
        <v>2</v>
      </c>
      <c r="D3" s="13" t="s">
        <v>3</v>
      </c>
      <c r="E3" s="13" t="s">
        <v>4</v>
      </c>
    </row>
    <row r="4" spans="1:17" ht="18" customHeight="1" x14ac:dyDescent="0.25">
      <c r="A4" s="10" t="s">
        <v>726</v>
      </c>
      <c r="B4" s="10"/>
      <c r="C4" s="10"/>
      <c r="D4" s="10"/>
      <c r="E4" s="10"/>
      <c r="F4" s="10"/>
      <c r="G4" s="10"/>
      <c r="H4" s="10"/>
      <c r="I4" s="10"/>
      <c r="J4" s="10"/>
      <c r="K4" s="10"/>
      <c r="L4" s="10"/>
      <c r="M4" s="10"/>
      <c r="N4" s="10"/>
      <c r="O4" s="10"/>
      <c r="P4" s="10"/>
      <c r="Q4" s="10"/>
    </row>
    <row r="5" spans="1:17" ht="18" customHeight="1" x14ac:dyDescent="0.25">
      <c r="A5" s="10"/>
      <c r="B5" s="10"/>
      <c r="C5" s="10"/>
      <c r="D5" s="10"/>
      <c r="E5" s="10"/>
      <c r="F5" s="10"/>
      <c r="G5" s="10"/>
      <c r="H5" s="10"/>
      <c r="I5" s="10"/>
      <c r="J5" s="10"/>
      <c r="K5" s="10"/>
      <c r="L5" s="10"/>
      <c r="M5" s="10"/>
      <c r="N5" s="10"/>
      <c r="O5" s="10"/>
      <c r="P5" s="10"/>
      <c r="Q5" s="10"/>
    </row>
    <row r="6" spans="1:17" ht="18" customHeight="1" x14ac:dyDescent="0.25">
      <c r="A6" s="10"/>
      <c r="B6" s="10"/>
      <c r="C6" s="10"/>
      <c r="D6" s="10"/>
      <c r="E6" s="10"/>
      <c r="F6" s="10"/>
      <c r="G6" s="10"/>
      <c r="H6" s="10"/>
      <c r="I6" s="10"/>
      <c r="J6" s="10"/>
      <c r="K6" s="10"/>
      <c r="L6" s="10"/>
      <c r="M6" s="10"/>
      <c r="N6" s="10"/>
      <c r="O6" s="10"/>
      <c r="P6" s="10"/>
      <c r="Q6" s="10"/>
    </row>
    <row r="8" spans="1:17" ht="25.5" x14ac:dyDescent="0.25">
      <c r="A8" s="21" t="s">
        <v>727</v>
      </c>
      <c r="B8" s="21" t="s">
        <v>728</v>
      </c>
      <c r="C8" s="21" t="s">
        <v>272</v>
      </c>
      <c r="D8" s="21" t="s">
        <v>275</v>
      </c>
      <c r="E8" s="21" t="s">
        <v>273</v>
      </c>
      <c r="F8" s="21" t="s">
        <v>729</v>
      </c>
      <c r="G8" s="21" t="s">
        <v>730</v>
      </c>
      <c r="H8" s="21" t="s">
        <v>731</v>
      </c>
      <c r="I8" s="21" t="s">
        <v>732</v>
      </c>
      <c r="J8" s="21" t="s">
        <v>733</v>
      </c>
      <c r="K8" s="21" t="s">
        <v>734</v>
      </c>
      <c r="L8" s="21" t="s">
        <v>735</v>
      </c>
      <c r="M8" s="21" t="s">
        <v>736</v>
      </c>
      <c r="N8" s="21" t="s">
        <v>737</v>
      </c>
      <c r="O8" s="21" t="s">
        <v>738</v>
      </c>
      <c r="P8" s="21" t="s">
        <v>739</v>
      </c>
      <c r="Q8" s="21" t="s">
        <v>154</v>
      </c>
    </row>
    <row r="9" spans="1:17" ht="25.5" x14ac:dyDescent="0.25">
      <c r="A9" s="16" t="s">
        <v>740</v>
      </c>
      <c r="B9" s="25" t="s">
        <v>741</v>
      </c>
      <c r="C9" s="16" t="s">
        <v>282</v>
      </c>
      <c r="D9" s="16" t="s">
        <v>283</v>
      </c>
      <c r="E9" s="16" t="s">
        <v>281</v>
      </c>
      <c r="F9" s="16" t="s">
        <v>522</v>
      </c>
      <c r="G9" s="16" t="s">
        <v>522</v>
      </c>
      <c r="H9" s="16" t="s">
        <v>476</v>
      </c>
      <c r="I9" s="16" t="s">
        <v>436</v>
      </c>
      <c r="J9" s="16" t="s">
        <v>655</v>
      </c>
      <c r="K9" s="16" t="s">
        <v>742</v>
      </c>
      <c r="L9" s="16" t="s">
        <v>743</v>
      </c>
      <c r="M9" s="26">
        <f>COUNTIF('Execution Tracker'!$C$9:$C$400,A9)</f>
        <v>4</v>
      </c>
      <c r="N9" s="26">
        <f>COUNTIFS('Execution Tracker'!$C$9:$C$400,A9,'Execution Tracker'!$G$9:$G$400,"Passed")</f>
        <v>3</v>
      </c>
      <c r="O9" s="26">
        <f>COUNTIFS('Execution Tracker'!$C$9:$C$400,A9,'Execution Tracker'!$G$9:$G$400,"Failed")</f>
        <v>0</v>
      </c>
      <c r="P9" s="26">
        <f>COUNTIFS('Execution Tracker'!$C$9:$C$400,A9,'Execution Tracker'!$G$9:$G$400,"Blocked")</f>
        <v>1</v>
      </c>
      <c r="Q9" s="16"/>
    </row>
    <row r="10" spans="1:17" ht="25.5" x14ac:dyDescent="0.25">
      <c r="A10" s="16" t="s">
        <v>744</v>
      </c>
      <c r="B10" s="25" t="s">
        <v>745</v>
      </c>
      <c r="C10" s="16" t="s">
        <v>290</v>
      </c>
      <c r="D10" s="16" t="s">
        <v>291</v>
      </c>
      <c r="E10" s="16" t="s">
        <v>289</v>
      </c>
      <c r="F10" s="16" t="s">
        <v>522</v>
      </c>
      <c r="G10" s="16" t="s">
        <v>508</v>
      </c>
      <c r="H10" s="16" t="s">
        <v>252</v>
      </c>
      <c r="I10" s="16" t="s">
        <v>436</v>
      </c>
      <c r="J10" s="16" t="s">
        <v>655</v>
      </c>
      <c r="K10" s="16" t="s">
        <v>746</v>
      </c>
      <c r="L10" s="16" t="s">
        <v>747</v>
      </c>
      <c r="M10" s="26">
        <f>COUNTIF('Execution Tracker'!$C$9:$C$400,A10)</f>
        <v>3</v>
      </c>
      <c r="N10" s="26">
        <f>COUNTIFS('Execution Tracker'!$C$9:$C$400,A10,'Execution Tracker'!$G$9:$G$400,"Passed")</f>
        <v>1</v>
      </c>
      <c r="O10" s="26">
        <f>COUNTIFS('Execution Tracker'!$C$9:$C$400,A10,'Execution Tracker'!$G$9:$G$400,"Failed")</f>
        <v>2</v>
      </c>
      <c r="P10" s="26">
        <f>COUNTIFS('Execution Tracker'!$C$9:$C$400,A10,'Execution Tracker'!$G$9:$G$400,"Blocked")</f>
        <v>0</v>
      </c>
      <c r="Q10" s="16"/>
    </row>
    <row r="11" spans="1:17" ht="25.5" x14ac:dyDescent="0.25">
      <c r="A11" s="16" t="s">
        <v>748</v>
      </c>
      <c r="B11" s="25" t="s">
        <v>749</v>
      </c>
      <c r="C11" s="16" t="s">
        <v>296</v>
      </c>
      <c r="D11" s="16" t="s">
        <v>297</v>
      </c>
      <c r="E11" s="16" t="s">
        <v>295</v>
      </c>
      <c r="F11" s="16" t="s">
        <v>504</v>
      </c>
      <c r="G11" s="16" t="s">
        <v>508</v>
      </c>
      <c r="H11" s="16" t="s">
        <v>243</v>
      </c>
      <c r="I11" s="16" t="s">
        <v>449</v>
      </c>
      <c r="J11" s="16" t="s">
        <v>750</v>
      </c>
      <c r="K11" s="16" t="s">
        <v>751</v>
      </c>
      <c r="L11" s="16" t="s">
        <v>747</v>
      </c>
      <c r="M11" s="26">
        <f>COUNTIF('Execution Tracker'!$C$9:$C$400,A11)</f>
        <v>0</v>
      </c>
      <c r="N11" s="26">
        <f>COUNTIFS('Execution Tracker'!$C$9:$C$400,A11,'Execution Tracker'!$G$9:$G$400,"Passed")</f>
        <v>0</v>
      </c>
      <c r="O11" s="26">
        <f>COUNTIFS('Execution Tracker'!$C$9:$C$400,A11,'Execution Tracker'!$G$9:$G$400,"Failed")</f>
        <v>0</v>
      </c>
      <c r="P11" s="26">
        <f>COUNTIFS('Execution Tracker'!$C$9:$C$400,A11,'Execution Tracker'!$G$9:$G$400,"Blocked")</f>
        <v>0</v>
      </c>
      <c r="Q11" s="16"/>
    </row>
    <row r="12" spans="1:17" ht="25.5" x14ac:dyDescent="0.25">
      <c r="A12" s="16" t="s">
        <v>752</v>
      </c>
      <c r="B12" s="25" t="s">
        <v>753</v>
      </c>
      <c r="C12" s="16" t="s">
        <v>303</v>
      </c>
      <c r="D12" s="16" t="s">
        <v>304</v>
      </c>
      <c r="E12" s="16" t="s">
        <v>302</v>
      </c>
      <c r="F12" s="16" t="s">
        <v>508</v>
      </c>
      <c r="G12" s="16" t="s">
        <v>522</v>
      </c>
      <c r="H12" s="16" t="s">
        <v>460</v>
      </c>
      <c r="I12" s="16" t="s">
        <v>449</v>
      </c>
      <c r="J12" s="16" t="s">
        <v>754</v>
      </c>
      <c r="K12" s="16" t="s">
        <v>742</v>
      </c>
      <c r="L12" s="16" t="s">
        <v>747</v>
      </c>
      <c r="M12" s="26">
        <f>COUNTIF('Execution Tracker'!$C$9:$C$400,A12)</f>
        <v>0</v>
      </c>
      <c r="N12" s="26">
        <f>COUNTIFS('Execution Tracker'!$C$9:$C$400,A12,'Execution Tracker'!$G$9:$G$400,"Passed")</f>
        <v>0</v>
      </c>
      <c r="O12" s="26">
        <f>COUNTIFS('Execution Tracker'!$C$9:$C$400,A12,'Execution Tracker'!$G$9:$G$400,"Failed")</f>
        <v>0</v>
      </c>
      <c r="P12" s="26">
        <f>COUNTIFS('Execution Tracker'!$C$9:$C$400,A12,'Execution Tracker'!$G$9:$G$400,"Blocked")</f>
        <v>0</v>
      </c>
      <c r="Q12" s="16"/>
    </row>
    <row r="13" spans="1:17" ht="25.5" x14ac:dyDescent="0.25">
      <c r="A13" s="16" t="s">
        <v>755</v>
      </c>
      <c r="B13" s="25" t="s">
        <v>756</v>
      </c>
      <c r="C13" s="16" t="s">
        <v>309</v>
      </c>
      <c r="D13" s="16" t="s">
        <v>310</v>
      </c>
      <c r="E13" s="16" t="s">
        <v>308</v>
      </c>
      <c r="F13" s="16" t="s">
        <v>504</v>
      </c>
      <c r="G13" s="16" t="s">
        <v>508</v>
      </c>
      <c r="H13" s="16" t="s">
        <v>487</v>
      </c>
      <c r="I13" s="16" t="s">
        <v>458</v>
      </c>
      <c r="J13" s="16" t="s">
        <v>754</v>
      </c>
      <c r="K13" s="16" t="s">
        <v>757</v>
      </c>
      <c r="L13" s="16" t="s">
        <v>743</v>
      </c>
      <c r="M13" s="26">
        <f>COUNTIF('Execution Tracker'!$C$9:$C$400,A13)</f>
        <v>2</v>
      </c>
      <c r="N13" s="26">
        <f>COUNTIFS('Execution Tracker'!$C$9:$C$400,A13,'Execution Tracker'!$G$9:$G$400,"Passed")</f>
        <v>2</v>
      </c>
      <c r="O13" s="26">
        <f>COUNTIFS('Execution Tracker'!$C$9:$C$400,A13,'Execution Tracker'!$G$9:$G$400,"Failed")</f>
        <v>0</v>
      </c>
      <c r="P13" s="26">
        <f>COUNTIFS('Execution Tracker'!$C$9:$C$400,A13,'Execution Tracker'!$G$9:$G$400,"Blocked")</f>
        <v>0</v>
      </c>
      <c r="Q13" s="16"/>
    </row>
    <row r="14" spans="1:17" ht="25.5" x14ac:dyDescent="0.25">
      <c r="A14" s="16" t="s">
        <v>758</v>
      </c>
      <c r="B14" s="25" t="s">
        <v>759</v>
      </c>
      <c r="C14" s="16" t="s">
        <v>316</v>
      </c>
      <c r="D14" s="16" t="s">
        <v>283</v>
      </c>
      <c r="E14" s="16" t="s">
        <v>315</v>
      </c>
      <c r="F14" s="16" t="s">
        <v>522</v>
      </c>
      <c r="G14" s="16" t="s">
        <v>508</v>
      </c>
      <c r="H14" s="16" t="s">
        <v>79</v>
      </c>
      <c r="I14" s="16" t="s">
        <v>436</v>
      </c>
      <c r="J14" s="16" t="s">
        <v>750</v>
      </c>
      <c r="K14" s="16" t="s">
        <v>757</v>
      </c>
      <c r="L14" s="16" t="s">
        <v>747</v>
      </c>
      <c r="M14" s="26">
        <f>COUNTIF('Execution Tracker'!$C$9:$C$400,A14)</f>
        <v>1</v>
      </c>
      <c r="N14" s="26">
        <f>COUNTIFS('Execution Tracker'!$C$9:$C$400,A14,'Execution Tracker'!$G$9:$G$400,"Passed")</f>
        <v>0</v>
      </c>
      <c r="O14" s="26">
        <f>COUNTIFS('Execution Tracker'!$C$9:$C$400,A14,'Execution Tracker'!$G$9:$G$400,"Failed")</f>
        <v>0</v>
      </c>
      <c r="P14" s="26">
        <f>COUNTIFS('Execution Tracker'!$C$9:$C$400,A14,'Execution Tracker'!$G$9:$G$400,"Blocked")</f>
        <v>1</v>
      </c>
      <c r="Q14" s="16"/>
    </row>
    <row r="15" spans="1:17" ht="25.5" x14ac:dyDescent="0.25">
      <c r="A15" s="16" t="s">
        <v>760</v>
      </c>
      <c r="B15" s="25" t="s">
        <v>761</v>
      </c>
      <c r="C15" s="16" t="s">
        <v>321</v>
      </c>
      <c r="D15" s="16" t="s">
        <v>291</v>
      </c>
      <c r="E15" s="16" t="s">
        <v>320</v>
      </c>
      <c r="F15" s="16" t="s">
        <v>522</v>
      </c>
      <c r="G15" s="16" t="s">
        <v>508</v>
      </c>
      <c r="H15" s="16" t="s">
        <v>252</v>
      </c>
      <c r="I15" s="16" t="s">
        <v>436</v>
      </c>
      <c r="J15" s="16" t="s">
        <v>750</v>
      </c>
      <c r="K15" s="16" t="s">
        <v>757</v>
      </c>
      <c r="L15" s="16" t="s">
        <v>747</v>
      </c>
      <c r="M15" s="26">
        <f>COUNTIF('Execution Tracker'!$C$9:$C$400,A15)</f>
        <v>1</v>
      </c>
      <c r="N15" s="26">
        <f>COUNTIFS('Execution Tracker'!$C$9:$C$400,A15,'Execution Tracker'!$G$9:$G$400,"Passed")</f>
        <v>1</v>
      </c>
      <c r="O15" s="26">
        <f>COUNTIFS('Execution Tracker'!$C$9:$C$400,A15,'Execution Tracker'!$G$9:$G$400,"Failed")</f>
        <v>0</v>
      </c>
      <c r="P15" s="26">
        <f>COUNTIFS('Execution Tracker'!$C$9:$C$400,A15,'Execution Tracker'!$G$9:$G$400,"Blocked")</f>
        <v>0</v>
      </c>
      <c r="Q15" s="16"/>
    </row>
    <row r="16" spans="1:17" ht="25.5" x14ac:dyDescent="0.25">
      <c r="A16" s="16" t="s">
        <v>762</v>
      </c>
      <c r="B16" s="25" t="s">
        <v>763</v>
      </c>
      <c r="C16" s="16" t="s">
        <v>326</v>
      </c>
      <c r="D16" s="16" t="s">
        <v>297</v>
      </c>
      <c r="E16" s="16" t="s">
        <v>325</v>
      </c>
      <c r="F16" s="16" t="s">
        <v>508</v>
      </c>
      <c r="G16" s="16" t="s">
        <v>504</v>
      </c>
      <c r="H16" s="16" t="s">
        <v>460</v>
      </c>
      <c r="I16" s="16" t="s">
        <v>449</v>
      </c>
      <c r="J16" s="16" t="s">
        <v>655</v>
      </c>
      <c r="K16" s="16" t="s">
        <v>751</v>
      </c>
      <c r="L16" s="16" t="s">
        <v>747</v>
      </c>
      <c r="M16" s="26">
        <f>COUNTIF('Execution Tracker'!$C$9:$C$400,A16)</f>
        <v>2</v>
      </c>
      <c r="N16" s="26">
        <f>COUNTIFS('Execution Tracker'!$C$9:$C$400,A16,'Execution Tracker'!$G$9:$G$400,"Passed")</f>
        <v>2</v>
      </c>
      <c r="O16" s="26">
        <f>COUNTIFS('Execution Tracker'!$C$9:$C$400,A16,'Execution Tracker'!$G$9:$G$400,"Failed")</f>
        <v>0</v>
      </c>
      <c r="P16" s="26">
        <f>COUNTIFS('Execution Tracker'!$C$9:$C$400,A16,'Execution Tracker'!$G$9:$G$400,"Blocked")</f>
        <v>0</v>
      </c>
      <c r="Q16" s="16"/>
    </row>
    <row r="17" spans="1:17" ht="25.5" x14ac:dyDescent="0.25">
      <c r="A17" s="16" t="s">
        <v>764</v>
      </c>
      <c r="B17" s="25" t="s">
        <v>765</v>
      </c>
      <c r="C17" s="16" t="s">
        <v>331</v>
      </c>
      <c r="D17" s="16" t="s">
        <v>304</v>
      </c>
      <c r="E17" s="16" t="s">
        <v>330</v>
      </c>
      <c r="F17" s="16" t="s">
        <v>766</v>
      </c>
      <c r="G17" s="16" t="s">
        <v>504</v>
      </c>
      <c r="H17" s="16" t="s">
        <v>476</v>
      </c>
      <c r="I17" s="16" t="s">
        <v>449</v>
      </c>
      <c r="J17" s="16" t="s">
        <v>767</v>
      </c>
      <c r="K17" s="16" t="s">
        <v>746</v>
      </c>
      <c r="L17" s="16" t="s">
        <v>743</v>
      </c>
      <c r="M17" s="26">
        <f>COUNTIF('Execution Tracker'!$C$9:$C$400,A17)</f>
        <v>1</v>
      </c>
      <c r="N17" s="26">
        <f>COUNTIFS('Execution Tracker'!$C$9:$C$400,A17,'Execution Tracker'!$G$9:$G$400,"Passed")</f>
        <v>0</v>
      </c>
      <c r="O17" s="26">
        <f>COUNTIFS('Execution Tracker'!$C$9:$C$400,A17,'Execution Tracker'!$G$9:$G$400,"Failed")</f>
        <v>1</v>
      </c>
      <c r="P17" s="26">
        <f>COUNTIFS('Execution Tracker'!$C$9:$C$400,A17,'Execution Tracker'!$G$9:$G$400,"Blocked")</f>
        <v>0</v>
      </c>
      <c r="Q17" s="16" t="s">
        <v>768</v>
      </c>
    </row>
    <row r="18" spans="1:17" ht="25.5" x14ac:dyDescent="0.25">
      <c r="A18" s="16" t="s">
        <v>769</v>
      </c>
      <c r="B18" s="25" t="s">
        <v>770</v>
      </c>
      <c r="C18" s="16" t="s">
        <v>336</v>
      </c>
      <c r="D18" s="16" t="s">
        <v>310</v>
      </c>
      <c r="E18" s="16" t="s">
        <v>335</v>
      </c>
      <c r="F18" s="16" t="s">
        <v>504</v>
      </c>
      <c r="G18" s="16" t="s">
        <v>508</v>
      </c>
      <c r="H18" s="16" t="s">
        <v>252</v>
      </c>
      <c r="I18" s="16" t="s">
        <v>458</v>
      </c>
      <c r="J18" s="16" t="s">
        <v>767</v>
      </c>
      <c r="K18" s="16" t="s">
        <v>757</v>
      </c>
      <c r="L18" s="16" t="s">
        <v>747</v>
      </c>
      <c r="M18" s="26">
        <f>COUNTIF('Execution Tracker'!$C$9:$C$400,A18)</f>
        <v>0</v>
      </c>
      <c r="N18" s="26">
        <f>COUNTIFS('Execution Tracker'!$C$9:$C$400,A18,'Execution Tracker'!$G$9:$G$400,"Passed")</f>
        <v>0</v>
      </c>
      <c r="O18" s="26">
        <f>COUNTIFS('Execution Tracker'!$C$9:$C$400,A18,'Execution Tracker'!$G$9:$G$400,"Failed")</f>
        <v>0</v>
      </c>
      <c r="P18" s="26">
        <f>COUNTIFS('Execution Tracker'!$C$9:$C$400,A18,'Execution Tracker'!$G$9:$G$400,"Blocked")</f>
        <v>0</v>
      </c>
      <c r="Q18" s="16"/>
    </row>
    <row r="19" spans="1:17" ht="25.5" x14ac:dyDescent="0.25">
      <c r="A19" s="16" t="s">
        <v>771</v>
      </c>
      <c r="B19" s="25" t="s">
        <v>772</v>
      </c>
      <c r="C19" s="16" t="s">
        <v>341</v>
      </c>
      <c r="D19" s="16" t="s">
        <v>283</v>
      </c>
      <c r="E19" s="16" t="s">
        <v>340</v>
      </c>
      <c r="F19" s="16" t="s">
        <v>508</v>
      </c>
      <c r="G19" s="16" t="s">
        <v>508</v>
      </c>
      <c r="H19" s="16" t="s">
        <v>484</v>
      </c>
      <c r="I19" s="16" t="s">
        <v>436</v>
      </c>
      <c r="J19" s="16" t="s">
        <v>750</v>
      </c>
      <c r="K19" s="16" t="s">
        <v>746</v>
      </c>
      <c r="L19" s="16" t="s">
        <v>743</v>
      </c>
      <c r="M19" s="26">
        <f>COUNTIF('Execution Tracker'!$C$9:$C$400,A19)</f>
        <v>5</v>
      </c>
      <c r="N19" s="26">
        <f>COUNTIFS('Execution Tracker'!$C$9:$C$400,A19,'Execution Tracker'!$G$9:$G$400,"Passed")</f>
        <v>1</v>
      </c>
      <c r="O19" s="26">
        <f>COUNTIFS('Execution Tracker'!$C$9:$C$400,A19,'Execution Tracker'!$G$9:$G$400,"Failed")</f>
        <v>3</v>
      </c>
      <c r="P19" s="26">
        <f>COUNTIFS('Execution Tracker'!$C$9:$C$400,A19,'Execution Tracker'!$G$9:$G$400,"Blocked")</f>
        <v>0</v>
      </c>
      <c r="Q19" s="16"/>
    </row>
    <row r="20" spans="1:17" ht="25.5" x14ac:dyDescent="0.25">
      <c r="A20" s="16" t="s">
        <v>773</v>
      </c>
      <c r="B20" s="25" t="s">
        <v>774</v>
      </c>
      <c r="C20" s="16" t="s">
        <v>347</v>
      </c>
      <c r="D20" s="16" t="s">
        <v>291</v>
      </c>
      <c r="E20" s="16" t="s">
        <v>346</v>
      </c>
      <c r="F20" s="16" t="s">
        <v>504</v>
      </c>
      <c r="G20" s="16" t="s">
        <v>522</v>
      </c>
      <c r="H20" s="16" t="s">
        <v>490</v>
      </c>
      <c r="I20" s="16" t="s">
        <v>436</v>
      </c>
      <c r="J20" s="16" t="s">
        <v>655</v>
      </c>
      <c r="K20" s="16" t="s">
        <v>742</v>
      </c>
      <c r="L20" s="16" t="s">
        <v>747</v>
      </c>
      <c r="M20" s="26">
        <f>COUNTIF('Execution Tracker'!$C$9:$C$400,A20)</f>
        <v>0</v>
      </c>
      <c r="N20" s="26">
        <f>COUNTIFS('Execution Tracker'!$C$9:$C$400,A20,'Execution Tracker'!$G$9:$G$400,"Passed")</f>
        <v>0</v>
      </c>
      <c r="O20" s="26">
        <f>COUNTIFS('Execution Tracker'!$C$9:$C$400,A20,'Execution Tracker'!$G$9:$G$400,"Failed")</f>
        <v>0</v>
      </c>
      <c r="P20" s="26">
        <f>COUNTIFS('Execution Tracker'!$C$9:$C$400,A20,'Execution Tracker'!$G$9:$G$400,"Blocked")</f>
        <v>0</v>
      </c>
      <c r="Q20" s="16"/>
    </row>
    <row r="21" spans="1:17" ht="25.5" x14ac:dyDescent="0.25">
      <c r="A21" s="16" t="s">
        <v>775</v>
      </c>
      <c r="B21" s="25" t="s">
        <v>776</v>
      </c>
      <c r="C21" s="16" t="s">
        <v>352</v>
      </c>
      <c r="D21" s="16" t="s">
        <v>297</v>
      </c>
      <c r="E21" s="16" t="s">
        <v>351</v>
      </c>
      <c r="F21" s="16" t="s">
        <v>522</v>
      </c>
      <c r="G21" s="16" t="s">
        <v>522</v>
      </c>
      <c r="H21" s="16" t="s">
        <v>484</v>
      </c>
      <c r="I21" s="16" t="s">
        <v>449</v>
      </c>
      <c r="J21" s="16" t="s">
        <v>750</v>
      </c>
      <c r="K21" s="16" t="s">
        <v>742</v>
      </c>
      <c r="L21" s="16" t="s">
        <v>743</v>
      </c>
      <c r="M21" s="26">
        <f>COUNTIF('Execution Tracker'!$C$9:$C$400,A21)</f>
        <v>1</v>
      </c>
      <c r="N21" s="26">
        <f>COUNTIFS('Execution Tracker'!$C$9:$C$400,A21,'Execution Tracker'!$G$9:$G$400,"Passed")</f>
        <v>0</v>
      </c>
      <c r="O21" s="26">
        <f>COUNTIFS('Execution Tracker'!$C$9:$C$400,A21,'Execution Tracker'!$G$9:$G$400,"Failed")</f>
        <v>0</v>
      </c>
      <c r="P21" s="26">
        <f>COUNTIFS('Execution Tracker'!$C$9:$C$400,A21,'Execution Tracker'!$G$9:$G$400,"Blocked")</f>
        <v>0</v>
      </c>
      <c r="Q21" s="16"/>
    </row>
    <row r="22" spans="1:17" ht="25.5" x14ac:dyDescent="0.25">
      <c r="A22" s="16" t="s">
        <v>777</v>
      </c>
      <c r="B22" s="25" t="s">
        <v>778</v>
      </c>
      <c r="C22" s="16" t="s">
        <v>357</v>
      </c>
      <c r="D22" s="16" t="s">
        <v>304</v>
      </c>
      <c r="E22" s="16" t="s">
        <v>356</v>
      </c>
      <c r="F22" s="16" t="s">
        <v>508</v>
      </c>
      <c r="G22" s="16" t="s">
        <v>508</v>
      </c>
      <c r="H22" s="16" t="s">
        <v>252</v>
      </c>
      <c r="I22" s="16" t="s">
        <v>449</v>
      </c>
      <c r="J22" s="16" t="s">
        <v>750</v>
      </c>
      <c r="K22" s="16" t="s">
        <v>742</v>
      </c>
      <c r="L22" s="16" t="s">
        <v>747</v>
      </c>
      <c r="M22" s="26">
        <f>COUNTIF('Execution Tracker'!$C$9:$C$400,A22)</f>
        <v>1</v>
      </c>
      <c r="N22" s="26">
        <f>COUNTIFS('Execution Tracker'!$C$9:$C$400,A22,'Execution Tracker'!$G$9:$G$400,"Passed")</f>
        <v>0</v>
      </c>
      <c r="O22" s="26">
        <f>COUNTIFS('Execution Tracker'!$C$9:$C$400,A22,'Execution Tracker'!$G$9:$G$400,"Failed")</f>
        <v>0</v>
      </c>
      <c r="P22" s="26">
        <f>COUNTIFS('Execution Tracker'!$C$9:$C$400,A22,'Execution Tracker'!$G$9:$G$400,"Blocked")</f>
        <v>1</v>
      </c>
      <c r="Q22" s="16"/>
    </row>
    <row r="23" spans="1:17" ht="25.5" x14ac:dyDescent="0.25">
      <c r="A23" s="16" t="s">
        <v>779</v>
      </c>
      <c r="B23" s="25" t="s">
        <v>780</v>
      </c>
      <c r="C23" s="16" t="s">
        <v>362</v>
      </c>
      <c r="D23" s="16" t="s">
        <v>310</v>
      </c>
      <c r="E23" s="16" t="s">
        <v>361</v>
      </c>
      <c r="F23" s="16" t="s">
        <v>522</v>
      </c>
      <c r="G23" s="16" t="s">
        <v>504</v>
      </c>
      <c r="H23" s="16" t="s">
        <v>252</v>
      </c>
      <c r="I23" s="16" t="s">
        <v>458</v>
      </c>
      <c r="J23" s="16" t="s">
        <v>754</v>
      </c>
      <c r="K23" s="16" t="s">
        <v>742</v>
      </c>
      <c r="L23" s="16" t="s">
        <v>743</v>
      </c>
      <c r="M23" s="26">
        <f>COUNTIF('Execution Tracker'!$C$9:$C$400,A23)</f>
        <v>2</v>
      </c>
      <c r="N23" s="26">
        <f>COUNTIFS('Execution Tracker'!$C$9:$C$400,A23,'Execution Tracker'!$G$9:$G$400,"Passed")</f>
        <v>2</v>
      </c>
      <c r="O23" s="26">
        <f>COUNTIFS('Execution Tracker'!$C$9:$C$400,A23,'Execution Tracker'!$G$9:$G$400,"Failed")</f>
        <v>0</v>
      </c>
      <c r="P23" s="26">
        <f>COUNTIFS('Execution Tracker'!$C$9:$C$400,A23,'Execution Tracker'!$G$9:$G$400,"Blocked")</f>
        <v>0</v>
      </c>
      <c r="Q23" s="16"/>
    </row>
    <row r="24" spans="1:17" ht="25.5" x14ac:dyDescent="0.25">
      <c r="A24" s="16" t="s">
        <v>781</v>
      </c>
      <c r="B24" s="25" t="s">
        <v>782</v>
      </c>
      <c r="C24" s="16" t="s">
        <v>367</v>
      </c>
      <c r="D24" s="16" t="s">
        <v>283</v>
      </c>
      <c r="E24" s="16" t="s">
        <v>366</v>
      </c>
      <c r="F24" s="16" t="s">
        <v>522</v>
      </c>
      <c r="G24" s="16" t="s">
        <v>522</v>
      </c>
      <c r="H24" s="16" t="s">
        <v>252</v>
      </c>
      <c r="I24" s="16" t="s">
        <v>436</v>
      </c>
      <c r="J24" s="16" t="s">
        <v>750</v>
      </c>
      <c r="K24" s="16" t="s">
        <v>757</v>
      </c>
      <c r="L24" s="16" t="s">
        <v>747</v>
      </c>
      <c r="M24" s="26">
        <f>COUNTIF('Execution Tracker'!$C$9:$C$400,A24)</f>
        <v>3</v>
      </c>
      <c r="N24" s="26">
        <f>COUNTIFS('Execution Tracker'!$C$9:$C$400,A24,'Execution Tracker'!$G$9:$G$400,"Passed")</f>
        <v>2</v>
      </c>
      <c r="O24" s="26">
        <f>COUNTIFS('Execution Tracker'!$C$9:$C$400,A24,'Execution Tracker'!$G$9:$G$400,"Failed")</f>
        <v>1</v>
      </c>
      <c r="P24" s="26">
        <f>COUNTIFS('Execution Tracker'!$C$9:$C$400,A24,'Execution Tracker'!$G$9:$G$400,"Blocked")</f>
        <v>0</v>
      </c>
      <c r="Q24" s="16"/>
    </row>
    <row r="25" spans="1:17" ht="25.5" x14ac:dyDescent="0.25">
      <c r="A25" s="16" t="s">
        <v>783</v>
      </c>
      <c r="B25" s="25" t="s">
        <v>784</v>
      </c>
      <c r="C25" s="16" t="s">
        <v>372</v>
      </c>
      <c r="D25" s="16" t="s">
        <v>291</v>
      </c>
      <c r="E25" s="16" t="s">
        <v>371</v>
      </c>
      <c r="F25" s="16" t="s">
        <v>522</v>
      </c>
      <c r="G25" s="16" t="s">
        <v>508</v>
      </c>
      <c r="H25" s="16" t="s">
        <v>456</v>
      </c>
      <c r="I25" s="16" t="s">
        <v>436</v>
      </c>
      <c r="J25" s="16" t="s">
        <v>767</v>
      </c>
      <c r="K25" s="16" t="s">
        <v>751</v>
      </c>
      <c r="L25" s="16" t="s">
        <v>747</v>
      </c>
      <c r="M25" s="26">
        <f>COUNTIF('Execution Tracker'!$C$9:$C$400,A25)</f>
        <v>3</v>
      </c>
      <c r="N25" s="26">
        <f>COUNTIFS('Execution Tracker'!$C$9:$C$400,A25,'Execution Tracker'!$G$9:$G$400,"Passed")</f>
        <v>3</v>
      </c>
      <c r="O25" s="26">
        <f>COUNTIFS('Execution Tracker'!$C$9:$C$400,A25,'Execution Tracker'!$G$9:$G$400,"Failed")</f>
        <v>0</v>
      </c>
      <c r="P25" s="26">
        <f>COUNTIFS('Execution Tracker'!$C$9:$C$400,A25,'Execution Tracker'!$G$9:$G$400,"Blocked")</f>
        <v>0</v>
      </c>
      <c r="Q25" s="16"/>
    </row>
    <row r="26" spans="1:17" ht="25.5" x14ac:dyDescent="0.25">
      <c r="A26" s="16" t="s">
        <v>785</v>
      </c>
      <c r="B26" s="25" t="s">
        <v>786</v>
      </c>
      <c r="C26" s="16" t="s">
        <v>377</v>
      </c>
      <c r="D26" s="16" t="s">
        <v>297</v>
      </c>
      <c r="E26" s="16" t="s">
        <v>376</v>
      </c>
      <c r="F26" s="16" t="s">
        <v>508</v>
      </c>
      <c r="G26" s="16" t="s">
        <v>504</v>
      </c>
      <c r="H26" s="16" t="s">
        <v>81</v>
      </c>
      <c r="I26" s="16" t="s">
        <v>449</v>
      </c>
      <c r="J26" s="16" t="s">
        <v>750</v>
      </c>
      <c r="K26" s="16" t="s">
        <v>751</v>
      </c>
      <c r="L26" s="16" t="s">
        <v>747</v>
      </c>
      <c r="M26" s="26">
        <f>COUNTIF('Execution Tracker'!$C$9:$C$400,A26)</f>
        <v>2</v>
      </c>
      <c r="N26" s="26">
        <f>COUNTIFS('Execution Tracker'!$C$9:$C$400,A26,'Execution Tracker'!$G$9:$G$400,"Passed")</f>
        <v>0</v>
      </c>
      <c r="O26" s="26">
        <f>COUNTIFS('Execution Tracker'!$C$9:$C$400,A26,'Execution Tracker'!$G$9:$G$400,"Failed")</f>
        <v>0</v>
      </c>
      <c r="P26" s="26">
        <f>COUNTIFS('Execution Tracker'!$C$9:$C$400,A26,'Execution Tracker'!$G$9:$G$400,"Blocked")</f>
        <v>1</v>
      </c>
      <c r="Q26" s="16"/>
    </row>
    <row r="27" spans="1:17" ht="25.5" x14ac:dyDescent="0.25">
      <c r="A27" s="16" t="s">
        <v>787</v>
      </c>
      <c r="B27" s="25" t="s">
        <v>788</v>
      </c>
      <c r="C27" s="16" t="s">
        <v>382</v>
      </c>
      <c r="D27" s="16" t="s">
        <v>304</v>
      </c>
      <c r="E27" s="16" t="s">
        <v>381</v>
      </c>
      <c r="F27" s="16" t="s">
        <v>522</v>
      </c>
      <c r="G27" s="16" t="s">
        <v>508</v>
      </c>
      <c r="H27" s="16" t="s">
        <v>243</v>
      </c>
      <c r="I27" s="16" t="s">
        <v>449</v>
      </c>
      <c r="J27" s="16" t="s">
        <v>767</v>
      </c>
      <c r="K27" s="16" t="s">
        <v>742</v>
      </c>
      <c r="L27" s="16" t="s">
        <v>743</v>
      </c>
      <c r="M27" s="26">
        <f>COUNTIF('Execution Tracker'!$C$9:$C$400,A27)</f>
        <v>3</v>
      </c>
      <c r="N27" s="26">
        <f>COUNTIFS('Execution Tracker'!$C$9:$C$400,A27,'Execution Tracker'!$G$9:$G$400,"Passed")</f>
        <v>2</v>
      </c>
      <c r="O27" s="26">
        <f>COUNTIFS('Execution Tracker'!$C$9:$C$400,A27,'Execution Tracker'!$G$9:$G$400,"Failed")</f>
        <v>1</v>
      </c>
      <c r="P27" s="26">
        <f>COUNTIFS('Execution Tracker'!$C$9:$C$400,A27,'Execution Tracker'!$G$9:$G$400,"Blocked")</f>
        <v>0</v>
      </c>
      <c r="Q27" s="16"/>
    </row>
    <row r="28" spans="1:17" ht="25.5" x14ac:dyDescent="0.25">
      <c r="A28" s="16" t="s">
        <v>789</v>
      </c>
      <c r="B28" s="25" t="s">
        <v>790</v>
      </c>
      <c r="C28" s="16" t="s">
        <v>387</v>
      </c>
      <c r="D28" s="16" t="s">
        <v>310</v>
      </c>
      <c r="E28" s="16" t="s">
        <v>386</v>
      </c>
      <c r="F28" s="16" t="s">
        <v>508</v>
      </c>
      <c r="G28" s="16" t="s">
        <v>522</v>
      </c>
      <c r="H28" s="16" t="s">
        <v>490</v>
      </c>
      <c r="I28" s="16" t="s">
        <v>458</v>
      </c>
      <c r="J28" s="16" t="s">
        <v>655</v>
      </c>
      <c r="K28" s="16" t="s">
        <v>791</v>
      </c>
      <c r="L28" s="16" t="s">
        <v>747</v>
      </c>
      <c r="M28" s="26">
        <f>COUNTIF('Execution Tracker'!$C$9:$C$400,A28)</f>
        <v>0</v>
      </c>
      <c r="N28" s="26">
        <f>COUNTIFS('Execution Tracker'!$C$9:$C$400,A28,'Execution Tracker'!$G$9:$G$400,"Passed")</f>
        <v>0</v>
      </c>
      <c r="O28" s="26">
        <f>COUNTIFS('Execution Tracker'!$C$9:$C$400,A28,'Execution Tracker'!$G$9:$G$400,"Failed")</f>
        <v>0</v>
      </c>
      <c r="P28" s="26">
        <f>COUNTIFS('Execution Tracker'!$C$9:$C$400,A28,'Execution Tracker'!$G$9:$G$400,"Blocked")</f>
        <v>0</v>
      </c>
      <c r="Q28" s="16"/>
    </row>
    <row r="29" spans="1:17" ht="25.5" x14ac:dyDescent="0.25">
      <c r="A29" s="16" t="s">
        <v>792</v>
      </c>
      <c r="B29" s="25" t="s">
        <v>741</v>
      </c>
      <c r="C29" s="16" t="s">
        <v>282</v>
      </c>
      <c r="D29" s="16" t="s">
        <v>283</v>
      </c>
      <c r="E29" s="16" t="s">
        <v>391</v>
      </c>
      <c r="F29" s="16" t="s">
        <v>522</v>
      </c>
      <c r="G29" s="16" t="s">
        <v>508</v>
      </c>
      <c r="H29" s="16" t="s">
        <v>343</v>
      </c>
      <c r="I29" s="16" t="s">
        <v>436</v>
      </c>
      <c r="J29" s="16" t="s">
        <v>754</v>
      </c>
      <c r="K29" s="16" t="s">
        <v>791</v>
      </c>
      <c r="L29" s="16" t="s">
        <v>747</v>
      </c>
      <c r="M29" s="26">
        <f>COUNTIF('Execution Tracker'!$C$9:$C$400,A29)</f>
        <v>3</v>
      </c>
      <c r="N29" s="26">
        <f>COUNTIFS('Execution Tracker'!$C$9:$C$400,A29,'Execution Tracker'!$G$9:$G$400,"Passed")</f>
        <v>2</v>
      </c>
      <c r="O29" s="26">
        <f>COUNTIFS('Execution Tracker'!$C$9:$C$400,A29,'Execution Tracker'!$G$9:$G$400,"Failed")</f>
        <v>1</v>
      </c>
      <c r="P29" s="26">
        <f>COUNTIFS('Execution Tracker'!$C$9:$C$400,A29,'Execution Tracker'!$G$9:$G$400,"Blocked")</f>
        <v>0</v>
      </c>
      <c r="Q29" s="16"/>
    </row>
    <row r="30" spans="1:17" ht="25.5" x14ac:dyDescent="0.25">
      <c r="A30" s="16" t="s">
        <v>793</v>
      </c>
      <c r="B30" s="25" t="s">
        <v>745</v>
      </c>
      <c r="C30" s="16" t="s">
        <v>290</v>
      </c>
      <c r="D30" s="16" t="s">
        <v>291</v>
      </c>
      <c r="E30" s="16" t="s">
        <v>393</v>
      </c>
      <c r="F30" s="16" t="s">
        <v>508</v>
      </c>
      <c r="G30" s="16" t="s">
        <v>522</v>
      </c>
      <c r="H30" s="16" t="s">
        <v>456</v>
      </c>
      <c r="I30" s="16" t="s">
        <v>436</v>
      </c>
      <c r="J30" s="16" t="s">
        <v>754</v>
      </c>
      <c r="K30" s="16" t="s">
        <v>746</v>
      </c>
      <c r="L30" s="16" t="s">
        <v>747</v>
      </c>
      <c r="M30" s="26">
        <f>COUNTIF('Execution Tracker'!$C$9:$C$400,A30)</f>
        <v>3</v>
      </c>
      <c r="N30" s="26">
        <f>COUNTIFS('Execution Tracker'!$C$9:$C$400,A30,'Execution Tracker'!$G$9:$G$400,"Passed")</f>
        <v>2</v>
      </c>
      <c r="O30" s="26">
        <f>COUNTIFS('Execution Tracker'!$C$9:$C$400,A30,'Execution Tracker'!$G$9:$G$400,"Failed")</f>
        <v>0</v>
      </c>
      <c r="P30" s="26">
        <f>COUNTIFS('Execution Tracker'!$C$9:$C$400,A30,'Execution Tracker'!$G$9:$G$400,"Blocked")</f>
        <v>0</v>
      </c>
      <c r="Q30" s="16"/>
    </row>
    <row r="31" spans="1:17" ht="25.5" x14ac:dyDescent="0.25">
      <c r="A31" s="16" t="s">
        <v>794</v>
      </c>
      <c r="B31" s="25" t="s">
        <v>749</v>
      </c>
      <c r="C31" s="16" t="s">
        <v>296</v>
      </c>
      <c r="D31" s="16" t="s">
        <v>297</v>
      </c>
      <c r="E31" s="16" t="s">
        <v>396</v>
      </c>
      <c r="F31" s="16" t="s">
        <v>508</v>
      </c>
      <c r="G31" s="16" t="s">
        <v>508</v>
      </c>
      <c r="H31" s="16" t="s">
        <v>487</v>
      </c>
      <c r="I31" s="16" t="s">
        <v>449</v>
      </c>
      <c r="J31" s="16" t="s">
        <v>655</v>
      </c>
      <c r="K31" s="16" t="s">
        <v>757</v>
      </c>
      <c r="L31" s="16" t="s">
        <v>743</v>
      </c>
      <c r="M31" s="26">
        <f>COUNTIF('Execution Tracker'!$C$9:$C$400,A31)</f>
        <v>5</v>
      </c>
      <c r="N31" s="26">
        <f>COUNTIFS('Execution Tracker'!$C$9:$C$400,A31,'Execution Tracker'!$G$9:$G$400,"Passed")</f>
        <v>5</v>
      </c>
      <c r="O31" s="26">
        <f>COUNTIFS('Execution Tracker'!$C$9:$C$400,A31,'Execution Tracker'!$G$9:$G$400,"Failed")</f>
        <v>0</v>
      </c>
      <c r="P31" s="26">
        <f>COUNTIFS('Execution Tracker'!$C$9:$C$400,A31,'Execution Tracker'!$G$9:$G$400,"Blocked")</f>
        <v>0</v>
      </c>
      <c r="Q31" s="16"/>
    </row>
    <row r="32" spans="1:17" ht="25.5" x14ac:dyDescent="0.25">
      <c r="A32" s="16" t="s">
        <v>795</v>
      </c>
      <c r="B32" s="25" t="s">
        <v>753</v>
      </c>
      <c r="C32" s="16" t="s">
        <v>303</v>
      </c>
      <c r="D32" s="16" t="s">
        <v>304</v>
      </c>
      <c r="E32" s="16" t="s">
        <v>399</v>
      </c>
      <c r="F32" s="16" t="s">
        <v>522</v>
      </c>
      <c r="G32" s="16" t="s">
        <v>508</v>
      </c>
      <c r="H32" s="16" t="s">
        <v>460</v>
      </c>
      <c r="I32" s="16" t="s">
        <v>449</v>
      </c>
      <c r="J32" s="16" t="s">
        <v>750</v>
      </c>
      <c r="K32" s="16" t="s">
        <v>757</v>
      </c>
      <c r="L32" s="16" t="s">
        <v>796</v>
      </c>
      <c r="M32" s="26">
        <f>COUNTIF('Execution Tracker'!$C$9:$C$400,A32)</f>
        <v>3</v>
      </c>
      <c r="N32" s="26">
        <f>COUNTIFS('Execution Tracker'!$C$9:$C$400,A32,'Execution Tracker'!$G$9:$G$400,"Passed")</f>
        <v>3</v>
      </c>
      <c r="O32" s="26">
        <f>COUNTIFS('Execution Tracker'!$C$9:$C$400,A32,'Execution Tracker'!$G$9:$G$400,"Failed")</f>
        <v>0</v>
      </c>
      <c r="P32" s="26">
        <f>COUNTIFS('Execution Tracker'!$C$9:$C$400,A32,'Execution Tracker'!$G$9:$G$400,"Blocked")</f>
        <v>0</v>
      </c>
      <c r="Q32" s="16"/>
    </row>
    <row r="33" spans="1:17" ht="25.5" x14ac:dyDescent="0.25">
      <c r="A33" s="16" t="s">
        <v>797</v>
      </c>
      <c r="B33" s="25" t="s">
        <v>756</v>
      </c>
      <c r="C33" s="16" t="s">
        <v>309</v>
      </c>
      <c r="D33" s="16" t="s">
        <v>310</v>
      </c>
      <c r="E33" s="16" t="s">
        <v>401</v>
      </c>
      <c r="F33" s="16" t="s">
        <v>508</v>
      </c>
      <c r="G33" s="16" t="s">
        <v>522</v>
      </c>
      <c r="H33" s="16" t="s">
        <v>79</v>
      </c>
      <c r="I33" s="16" t="s">
        <v>458</v>
      </c>
      <c r="J33" s="16" t="s">
        <v>655</v>
      </c>
      <c r="K33" s="16" t="s">
        <v>751</v>
      </c>
      <c r="L33" s="16" t="s">
        <v>796</v>
      </c>
      <c r="M33" s="26">
        <f>COUNTIF('Execution Tracker'!$C$9:$C$400,A33)</f>
        <v>3</v>
      </c>
      <c r="N33" s="26">
        <f>COUNTIFS('Execution Tracker'!$C$9:$C$400,A33,'Execution Tracker'!$G$9:$G$400,"Passed")</f>
        <v>1</v>
      </c>
      <c r="O33" s="26">
        <f>COUNTIFS('Execution Tracker'!$C$9:$C$400,A33,'Execution Tracker'!$G$9:$G$400,"Failed")</f>
        <v>0</v>
      </c>
      <c r="P33" s="26">
        <f>COUNTIFS('Execution Tracker'!$C$9:$C$400,A33,'Execution Tracker'!$G$9:$G$400,"Blocked")</f>
        <v>2</v>
      </c>
      <c r="Q33" s="16"/>
    </row>
    <row r="34" spans="1:17" ht="25.5" x14ac:dyDescent="0.25">
      <c r="A34" s="16" t="s">
        <v>798</v>
      </c>
      <c r="B34" s="25" t="s">
        <v>759</v>
      </c>
      <c r="C34" s="16" t="s">
        <v>316</v>
      </c>
      <c r="D34" s="16" t="s">
        <v>283</v>
      </c>
      <c r="E34" s="16" t="s">
        <v>405</v>
      </c>
      <c r="F34" s="16" t="s">
        <v>522</v>
      </c>
      <c r="G34" s="16" t="s">
        <v>508</v>
      </c>
      <c r="H34" s="16" t="s">
        <v>456</v>
      </c>
      <c r="I34" s="16" t="s">
        <v>436</v>
      </c>
      <c r="J34" s="16" t="s">
        <v>750</v>
      </c>
      <c r="K34" s="16" t="s">
        <v>757</v>
      </c>
      <c r="L34" s="16" t="s">
        <v>747</v>
      </c>
      <c r="M34" s="26">
        <f>COUNTIF('Execution Tracker'!$C$9:$C$400,A34)</f>
        <v>2</v>
      </c>
      <c r="N34" s="26">
        <f>COUNTIFS('Execution Tracker'!$C$9:$C$400,A34,'Execution Tracker'!$G$9:$G$400,"Passed")</f>
        <v>1</v>
      </c>
      <c r="O34" s="26">
        <f>COUNTIFS('Execution Tracker'!$C$9:$C$400,A34,'Execution Tracker'!$G$9:$G$400,"Failed")</f>
        <v>1</v>
      </c>
      <c r="P34" s="26">
        <f>COUNTIFS('Execution Tracker'!$C$9:$C$400,A34,'Execution Tracker'!$G$9:$G$400,"Blocked")</f>
        <v>0</v>
      </c>
      <c r="Q34" s="16"/>
    </row>
    <row r="35" spans="1:17" ht="25.5" x14ac:dyDescent="0.25">
      <c r="A35" s="16" t="s">
        <v>799</v>
      </c>
      <c r="B35" s="25" t="s">
        <v>761</v>
      </c>
      <c r="C35" s="16" t="s">
        <v>321</v>
      </c>
      <c r="D35" s="16" t="s">
        <v>291</v>
      </c>
      <c r="E35" s="16" t="s">
        <v>408</v>
      </c>
      <c r="F35" s="16" t="s">
        <v>504</v>
      </c>
      <c r="G35" s="16" t="s">
        <v>508</v>
      </c>
      <c r="H35" s="16" t="s">
        <v>460</v>
      </c>
      <c r="I35" s="16" t="s">
        <v>436</v>
      </c>
      <c r="J35" s="16" t="s">
        <v>800</v>
      </c>
      <c r="K35" s="16" t="s">
        <v>746</v>
      </c>
      <c r="L35" s="16" t="s">
        <v>796</v>
      </c>
      <c r="M35" s="26">
        <f>COUNTIF('Execution Tracker'!$C$9:$C$400,A35)</f>
        <v>0</v>
      </c>
      <c r="N35" s="26">
        <f>COUNTIFS('Execution Tracker'!$C$9:$C$400,A35,'Execution Tracker'!$G$9:$G$400,"Passed")</f>
        <v>0</v>
      </c>
      <c r="O35" s="26">
        <f>COUNTIFS('Execution Tracker'!$C$9:$C$400,A35,'Execution Tracker'!$G$9:$G$400,"Failed")</f>
        <v>0</v>
      </c>
      <c r="P35" s="26">
        <f>COUNTIFS('Execution Tracker'!$C$9:$C$400,A35,'Execution Tracker'!$G$9:$G$400,"Blocked")</f>
        <v>0</v>
      </c>
      <c r="Q35" s="16"/>
    </row>
    <row r="36" spans="1:17" ht="25.5" x14ac:dyDescent="0.25">
      <c r="A36" s="16" t="s">
        <v>801</v>
      </c>
      <c r="B36" s="25" t="s">
        <v>763</v>
      </c>
      <c r="C36" s="16" t="s">
        <v>326</v>
      </c>
      <c r="D36" s="16" t="s">
        <v>297</v>
      </c>
      <c r="E36" s="16" t="s">
        <v>410</v>
      </c>
      <c r="F36" s="16" t="s">
        <v>766</v>
      </c>
      <c r="G36" s="16" t="s">
        <v>508</v>
      </c>
      <c r="H36" s="16" t="s">
        <v>484</v>
      </c>
      <c r="I36" s="16" t="s">
        <v>449</v>
      </c>
      <c r="J36" s="16" t="s">
        <v>800</v>
      </c>
      <c r="K36" s="16" t="s">
        <v>746</v>
      </c>
      <c r="L36" s="16" t="s">
        <v>747</v>
      </c>
      <c r="M36" s="26">
        <f>COUNTIF('Execution Tracker'!$C$9:$C$400,A36)</f>
        <v>2</v>
      </c>
      <c r="N36" s="26">
        <f>COUNTIFS('Execution Tracker'!$C$9:$C$400,A36,'Execution Tracker'!$G$9:$G$400,"Passed")</f>
        <v>0</v>
      </c>
      <c r="O36" s="26">
        <f>COUNTIFS('Execution Tracker'!$C$9:$C$400,A36,'Execution Tracker'!$G$9:$G$400,"Failed")</f>
        <v>0</v>
      </c>
      <c r="P36" s="26">
        <f>COUNTIFS('Execution Tracker'!$C$9:$C$400,A36,'Execution Tracker'!$G$9:$G$400,"Blocked")</f>
        <v>1</v>
      </c>
      <c r="Q36" s="16" t="s">
        <v>768</v>
      </c>
    </row>
    <row r="37" spans="1:17" ht="25.5" x14ac:dyDescent="0.25">
      <c r="A37" s="16" t="s">
        <v>802</v>
      </c>
      <c r="B37" s="25" t="s">
        <v>765</v>
      </c>
      <c r="C37" s="16" t="s">
        <v>331</v>
      </c>
      <c r="D37" s="16" t="s">
        <v>304</v>
      </c>
      <c r="E37" s="16" t="s">
        <v>415</v>
      </c>
      <c r="F37" s="16" t="s">
        <v>766</v>
      </c>
      <c r="G37" s="16" t="s">
        <v>508</v>
      </c>
      <c r="H37" s="16" t="s">
        <v>446</v>
      </c>
      <c r="I37" s="16" t="s">
        <v>449</v>
      </c>
      <c r="J37" s="16" t="s">
        <v>655</v>
      </c>
      <c r="K37" s="16" t="s">
        <v>746</v>
      </c>
      <c r="L37" s="16" t="s">
        <v>747</v>
      </c>
      <c r="M37" s="26">
        <f>COUNTIF('Execution Tracker'!$C$9:$C$400,A37)</f>
        <v>2</v>
      </c>
      <c r="N37" s="26">
        <f>COUNTIFS('Execution Tracker'!$C$9:$C$400,A37,'Execution Tracker'!$G$9:$G$400,"Passed")</f>
        <v>1</v>
      </c>
      <c r="O37" s="26">
        <f>COUNTIFS('Execution Tracker'!$C$9:$C$400,A37,'Execution Tracker'!$G$9:$G$400,"Failed")</f>
        <v>1</v>
      </c>
      <c r="P37" s="26">
        <f>COUNTIFS('Execution Tracker'!$C$9:$C$400,A37,'Execution Tracker'!$G$9:$G$400,"Blocked")</f>
        <v>0</v>
      </c>
      <c r="Q37" s="16" t="s">
        <v>768</v>
      </c>
    </row>
    <row r="38" spans="1:17" ht="25.5" x14ac:dyDescent="0.25">
      <c r="A38" s="16" t="s">
        <v>803</v>
      </c>
      <c r="B38" s="25" t="s">
        <v>770</v>
      </c>
      <c r="C38" s="16" t="s">
        <v>336</v>
      </c>
      <c r="D38" s="16" t="s">
        <v>310</v>
      </c>
      <c r="E38" s="16" t="s">
        <v>418</v>
      </c>
      <c r="F38" s="16" t="s">
        <v>508</v>
      </c>
      <c r="G38" s="16" t="s">
        <v>522</v>
      </c>
      <c r="H38" s="16" t="s">
        <v>456</v>
      </c>
      <c r="I38" s="16" t="s">
        <v>458</v>
      </c>
      <c r="J38" s="16" t="s">
        <v>767</v>
      </c>
      <c r="K38" s="16" t="s">
        <v>791</v>
      </c>
      <c r="L38" s="16" t="s">
        <v>747</v>
      </c>
      <c r="M38" s="26">
        <f>COUNTIF('Execution Tracker'!$C$9:$C$400,A38)</f>
        <v>4</v>
      </c>
      <c r="N38" s="26">
        <f>COUNTIFS('Execution Tracker'!$C$9:$C$400,A38,'Execution Tracker'!$G$9:$G$400,"Passed")</f>
        <v>3</v>
      </c>
      <c r="O38" s="26">
        <f>COUNTIFS('Execution Tracker'!$C$9:$C$400,A38,'Execution Tracker'!$G$9:$G$400,"Failed")</f>
        <v>1</v>
      </c>
      <c r="P38" s="26">
        <f>COUNTIFS('Execution Tracker'!$C$9:$C$400,A38,'Execution Tracker'!$G$9:$G$400,"Blocked")</f>
        <v>0</v>
      </c>
      <c r="Q38" s="16"/>
    </row>
    <row r="39" spans="1:17" ht="25.5" x14ac:dyDescent="0.25">
      <c r="A39" s="16" t="s">
        <v>804</v>
      </c>
      <c r="B39" s="25" t="s">
        <v>741</v>
      </c>
      <c r="C39" s="16" t="s">
        <v>282</v>
      </c>
      <c r="D39" s="16" t="s">
        <v>283</v>
      </c>
      <c r="E39" s="16" t="s">
        <v>281</v>
      </c>
      <c r="F39" s="16" t="s">
        <v>508</v>
      </c>
      <c r="G39" s="16" t="s">
        <v>508</v>
      </c>
      <c r="H39" s="16" t="s">
        <v>460</v>
      </c>
      <c r="I39" s="16" t="s">
        <v>436</v>
      </c>
      <c r="J39" s="16" t="s">
        <v>655</v>
      </c>
      <c r="K39" s="16" t="s">
        <v>746</v>
      </c>
      <c r="L39" s="16" t="s">
        <v>747</v>
      </c>
      <c r="M39" s="26">
        <f>COUNTIF('Execution Tracker'!$C$9:$C$400,A39)</f>
        <v>0</v>
      </c>
      <c r="N39" s="26">
        <f>COUNTIFS('Execution Tracker'!$C$9:$C$400,A39,'Execution Tracker'!$G$9:$G$400,"Passed")</f>
        <v>0</v>
      </c>
      <c r="O39" s="26">
        <f>COUNTIFS('Execution Tracker'!$C$9:$C$400,A39,'Execution Tracker'!$G$9:$G$400,"Failed")</f>
        <v>0</v>
      </c>
      <c r="P39" s="26">
        <f>COUNTIFS('Execution Tracker'!$C$9:$C$400,A39,'Execution Tracker'!$G$9:$G$400,"Blocked")</f>
        <v>0</v>
      </c>
      <c r="Q39" s="16"/>
    </row>
    <row r="40" spans="1:17" ht="25.5" x14ac:dyDescent="0.25">
      <c r="A40" s="16" t="s">
        <v>805</v>
      </c>
      <c r="B40" s="25" t="s">
        <v>745</v>
      </c>
      <c r="C40" s="16" t="s">
        <v>290</v>
      </c>
      <c r="D40" s="16" t="s">
        <v>291</v>
      </c>
      <c r="E40" s="16" t="s">
        <v>289</v>
      </c>
      <c r="F40" s="16" t="s">
        <v>504</v>
      </c>
      <c r="G40" s="16" t="s">
        <v>522</v>
      </c>
      <c r="H40" s="16" t="s">
        <v>81</v>
      </c>
      <c r="I40" s="16" t="s">
        <v>436</v>
      </c>
      <c r="J40" s="16" t="s">
        <v>655</v>
      </c>
      <c r="K40" s="16" t="s">
        <v>757</v>
      </c>
      <c r="L40" s="16" t="s">
        <v>796</v>
      </c>
      <c r="M40" s="26">
        <f>COUNTIF('Execution Tracker'!$C$9:$C$400,A40)</f>
        <v>3</v>
      </c>
      <c r="N40" s="26">
        <f>COUNTIFS('Execution Tracker'!$C$9:$C$400,A40,'Execution Tracker'!$G$9:$G$400,"Passed")</f>
        <v>3</v>
      </c>
      <c r="O40" s="26">
        <f>COUNTIFS('Execution Tracker'!$C$9:$C$400,A40,'Execution Tracker'!$G$9:$G$400,"Failed")</f>
        <v>0</v>
      </c>
      <c r="P40" s="26">
        <f>COUNTIFS('Execution Tracker'!$C$9:$C$400,A40,'Execution Tracker'!$G$9:$G$400,"Blocked")</f>
        <v>0</v>
      </c>
      <c r="Q40" s="16"/>
    </row>
    <row r="41" spans="1:17" ht="25.5" x14ac:dyDescent="0.25">
      <c r="A41" s="16" t="s">
        <v>806</v>
      </c>
      <c r="B41" s="25" t="s">
        <v>749</v>
      </c>
      <c r="C41" s="16" t="s">
        <v>296</v>
      </c>
      <c r="D41" s="16" t="s">
        <v>297</v>
      </c>
      <c r="E41" s="16" t="s">
        <v>295</v>
      </c>
      <c r="F41" s="16" t="s">
        <v>508</v>
      </c>
      <c r="G41" s="16" t="s">
        <v>522</v>
      </c>
      <c r="H41" s="16" t="s">
        <v>481</v>
      </c>
      <c r="I41" s="16" t="s">
        <v>449</v>
      </c>
      <c r="J41" s="16" t="s">
        <v>655</v>
      </c>
      <c r="K41" s="16" t="s">
        <v>757</v>
      </c>
      <c r="L41" s="16" t="s">
        <v>743</v>
      </c>
      <c r="M41" s="26">
        <f>COUNTIF('Execution Tracker'!$C$9:$C$400,A41)</f>
        <v>4</v>
      </c>
      <c r="N41" s="26">
        <f>COUNTIFS('Execution Tracker'!$C$9:$C$400,A41,'Execution Tracker'!$G$9:$G$400,"Passed")</f>
        <v>1</v>
      </c>
      <c r="O41" s="26">
        <f>COUNTIFS('Execution Tracker'!$C$9:$C$400,A41,'Execution Tracker'!$G$9:$G$400,"Failed")</f>
        <v>1</v>
      </c>
      <c r="P41" s="26">
        <f>COUNTIFS('Execution Tracker'!$C$9:$C$400,A41,'Execution Tracker'!$G$9:$G$400,"Blocked")</f>
        <v>1</v>
      </c>
      <c r="Q41" s="16"/>
    </row>
    <row r="42" spans="1:17" ht="25.5" x14ac:dyDescent="0.25">
      <c r="A42" s="16" t="s">
        <v>807</v>
      </c>
      <c r="B42" s="25" t="s">
        <v>753</v>
      </c>
      <c r="C42" s="16" t="s">
        <v>303</v>
      </c>
      <c r="D42" s="16" t="s">
        <v>304</v>
      </c>
      <c r="E42" s="16" t="s">
        <v>302</v>
      </c>
      <c r="F42" s="16" t="s">
        <v>504</v>
      </c>
      <c r="G42" s="16" t="s">
        <v>508</v>
      </c>
      <c r="H42" s="16" t="s">
        <v>487</v>
      </c>
      <c r="I42" s="16" t="s">
        <v>449</v>
      </c>
      <c r="J42" s="16" t="s">
        <v>754</v>
      </c>
      <c r="K42" s="16" t="s">
        <v>746</v>
      </c>
      <c r="L42" s="16" t="s">
        <v>747</v>
      </c>
      <c r="M42" s="26">
        <f>COUNTIF('Execution Tracker'!$C$9:$C$400,A42)</f>
        <v>1</v>
      </c>
      <c r="N42" s="26">
        <f>COUNTIFS('Execution Tracker'!$C$9:$C$400,A42,'Execution Tracker'!$G$9:$G$400,"Passed")</f>
        <v>0</v>
      </c>
      <c r="O42" s="26">
        <f>COUNTIFS('Execution Tracker'!$C$9:$C$400,A42,'Execution Tracker'!$G$9:$G$400,"Failed")</f>
        <v>0</v>
      </c>
      <c r="P42" s="26">
        <f>COUNTIFS('Execution Tracker'!$C$9:$C$400,A42,'Execution Tracker'!$G$9:$G$400,"Blocked")</f>
        <v>0</v>
      </c>
      <c r="Q42" s="16"/>
    </row>
    <row r="43" spans="1:17" ht="25.5" x14ac:dyDescent="0.25">
      <c r="A43" s="16" t="s">
        <v>808</v>
      </c>
      <c r="B43" s="25" t="s">
        <v>756</v>
      </c>
      <c r="C43" s="16" t="s">
        <v>309</v>
      </c>
      <c r="D43" s="16" t="s">
        <v>310</v>
      </c>
      <c r="E43" s="16" t="s">
        <v>308</v>
      </c>
      <c r="F43" s="16" t="s">
        <v>508</v>
      </c>
      <c r="G43" s="16" t="s">
        <v>504</v>
      </c>
      <c r="H43" s="16" t="s">
        <v>490</v>
      </c>
      <c r="I43" s="16" t="s">
        <v>458</v>
      </c>
      <c r="J43" s="16" t="s">
        <v>767</v>
      </c>
      <c r="K43" s="16" t="s">
        <v>757</v>
      </c>
      <c r="L43" s="16" t="s">
        <v>743</v>
      </c>
      <c r="M43" s="26">
        <f>COUNTIF('Execution Tracker'!$C$9:$C$400,A43)</f>
        <v>3</v>
      </c>
      <c r="N43" s="26">
        <f>COUNTIFS('Execution Tracker'!$C$9:$C$400,A43,'Execution Tracker'!$G$9:$G$400,"Passed")</f>
        <v>2</v>
      </c>
      <c r="O43" s="26">
        <f>COUNTIFS('Execution Tracker'!$C$9:$C$400,A43,'Execution Tracker'!$G$9:$G$400,"Failed")</f>
        <v>0</v>
      </c>
      <c r="P43" s="26">
        <f>COUNTIFS('Execution Tracker'!$C$9:$C$400,A43,'Execution Tracker'!$G$9:$G$400,"Blocked")</f>
        <v>1</v>
      </c>
      <c r="Q43" s="16"/>
    </row>
    <row r="44" spans="1:17" ht="25.5" x14ac:dyDescent="0.25">
      <c r="A44" s="16" t="s">
        <v>809</v>
      </c>
      <c r="B44" s="25" t="s">
        <v>759</v>
      </c>
      <c r="C44" s="16" t="s">
        <v>316</v>
      </c>
      <c r="D44" s="16" t="s">
        <v>283</v>
      </c>
      <c r="E44" s="16" t="s">
        <v>315</v>
      </c>
      <c r="F44" s="16" t="s">
        <v>504</v>
      </c>
      <c r="G44" s="16" t="s">
        <v>508</v>
      </c>
      <c r="H44" s="16" t="s">
        <v>269</v>
      </c>
      <c r="I44" s="16" t="s">
        <v>436</v>
      </c>
      <c r="J44" s="16" t="s">
        <v>754</v>
      </c>
      <c r="K44" s="16" t="s">
        <v>742</v>
      </c>
      <c r="L44" s="16" t="s">
        <v>796</v>
      </c>
      <c r="M44" s="26">
        <f>COUNTIF('Execution Tracker'!$C$9:$C$400,A44)</f>
        <v>0</v>
      </c>
      <c r="N44" s="26">
        <f>COUNTIFS('Execution Tracker'!$C$9:$C$400,A44,'Execution Tracker'!$G$9:$G$400,"Passed")</f>
        <v>0</v>
      </c>
      <c r="O44" s="26">
        <f>COUNTIFS('Execution Tracker'!$C$9:$C$400,A44,'Execution Tracker'!$G$9:$G$400,"Failed")</f>
        <v>0</v>
      </c>
      <c r="P44" s="26">
        <f>COUNTIFS('Execution Tracker'!$C$9:$C$400,A44,'Execution Tracker'!$G$9:$G$400,"Blocked")</f>
        <v>0</v>
      </c>
      <c r="Q44" s="16"/>
    </row>
    <row r="45" spans="1:17" ht="25.5" x14ac:dyDescent="0.25">
      <c r="A45" s="16" t="s">
        <v>810</v>
      </c>
      <c r="B45" s="25" t="s">
        <v>761</v>
      </c>
      <c r="C45" s="16" t="s">
        <v>321</v>
      </c>
      <c r="D45" s="16" t="s">
        <v>291</v>
      </c>
      <c r="E45" s="16" t="s">
        <v>320</v>
      </c>
      <c r="F45" s="16" t="s">
        <v>508</v>
      </c>
      <c r="G45" s="16" t="s">
        <v>504</v>
      </c>
      <c r="H45" s="16" t="s">
        <v>343</v>
      </c>
      <c r="I45" s="16" t="s">
        <v>436</v>
      </c>
      <c r="J45" s="16" t="s">
        <v>655</v>
      </c>
      <c r="K45" s="16" t="s">
        <v>791</v>
      </c>
      <c r="L45" s="16" t="s">
        <v>796</v>
      </c>
      <c r="M45" s="26">
        <f>COUNTIF('Execution Tracker'!$C$9:$C$400,A45)</f>
        <v>1</v>
      </c>
      <c r="N45" s="26">
        <f>COUNTIFS('Execution Tracker'!$C$9:$C$400,A45,'Execution Tracker'!$G$9:$G$400,"Passed")</f>
        <v>0</v>
      </c>
      <c r="O45" s="26">
        <f>COUNTIFS('Execution Tracker'!$C$9:$C$400,A45,'Execution Tracker'!$G$9:$G$400,"Failed")</f>
        <v>1</v>
      </c>
      <c r="P45" s="26">
        <f>COUNTIFS('Execution Tracker'!$C$9:$C$400,A45,'Execution Tracker'!$G$9:$G$400,"Blocked")</f>
        <v>0</v>
      </c>
      <c r="Q45" s="16"/>
    </row>
    <row r="46" spans="1:17" ht="25.5" x14ac:dyDescent="0.25">
      <c r="A46" s="16" t="s">
        <v>811</v>
      </c>
      <c r="B46" s="25" t="s">
        <v>763</v>
      </c>
      <c r="C46" s="16" t="s">
        <v>326</v>
      </c>
      <c r="D46" s="16" t="s">
        <v>297</v>
      </c>
      <c r="E46" s="16" t="s">
        <v>325</v>
      </c>
      <c r="F46" s="16" t="s">
        <v>522</v>
      </c>
      <c r="G46" s="16" t="s">
        <v>508</v>
      </c>
      <c r="H46" s="16" t="s">
        <v>460</v>
      </c>
      <c r="I46" s="16" t="s">
        <v>449</v>
      </c>
      <c r="J46" s="16" t="s">
        <v>800</v>
      </c>
      <c r="K46" s="16" t="s">
        <v>742</v>
      </c>
      <c r="L46" s="16" t="s">
        <v>747</v>
      </c>
      <c r="M46" s="26">
        <f>COUNTIF('Execution Tracker'!$C$9:$C$400,A46)</f>
        <v>6</v>
      </c>
      <c r="N46" s="26">
        <f>COUNTIFS('Execution Tracker'!$C$9:$C$400,A46,'Execution Tracker'!$G$9:$G$400,"Passed")</f>
        <v>3</v>
      </c>
      <c r="O46" s="26">
        <f>COUNTIFS('Execution Tracker'!$C$9:$C$400,A46,'Execution Tracker'!$G$9:$G$400,"Failed")</f>
        <v>0</v>
      </c>
      <c r="P46" s="26">
        <f>COUNTIFS('Execution Tracker'!$C$9:$C$400,A46,'Execution Tracker'!$G$9:$G$400,"Blocked")</f>
        <v>1</v>
      </c>
      <c r="Q46" s="16"/>
    </row>
    <row r="47" spans="1:17" ht="25.5" x14ac:dyDescent="0.25">
      <c r="A47" s="16" t="s">
        <v>812</v>
      </c>
      <c r="B47" s="25" t="s">
        <v>765</v>
      </c>
      <c r="C47" s="16" t="s">
        <v>331</v>
      </c>
      <c r="D47" s="16" t="s">
        <v>304</v>
      </c>
      <c r="E47" s="16" t="s">
        <v>330</v>
      </c>
      <c r="F47" s="16" t="s">
        <v>508</v>
      </c>
      <c r="G47" s="16" t="s">
        <v>508</v>
      </c>
      <c r="H47" s="16" t="s">
        <v>269</v>
      </c>
      <c r="I47" s="16" t="s">
        <v>449</v>
      </c>
      <c r="J47" s="16" t="s">
        <v>750</v>
      </c>
      <c r="K47" s="16" t="s">
        <v>742</v>
      </c>
      <c r="L47" s="16" t="s">
        <v>747</v>
      </c>
      <c r="M47" s="26">
        <f>COUNTIF('Execution Tracker'!$C$9:$C$400,A47)</f>
        <v>0</v>
      </c>
      <c r="N47" s="26">
        <f>COUNTIFS('Execution Tracker'!$C$9:$C$400,A47,'Execution Tracker'!$G$9:$G$400,"Passed")</f>
        <v>0</v>
      </c>
      <c r="O47" s="26">
        <f>COUNTIFS('Execution Tracker'!$C$9:$C$400,A47,'Execution Tracker'!$G$9:$G$400,"Failed")</f>
        <v>0</v>
      </c>
      <c r="P47" s="26">
        <f>COUNTIFS('Execution Tracker'!$C$9:$C$400,A47,'Execution Tracker'!$G$9:$G$400,"Blocked")</f>
        <v>0</v>
      </c>
      <c r="Q47" s="16"/>
    </row>
    <row r="48" spans="1:17" ht="25.5" x14ac:dyDescent="0.25">
      <c r="A48" s="16" t="s">
        <v>813</v>
      </c>
      <c r="B48" s="25" t="s">
        <v>770</v>
      </c>
      <c r="C48" s="16" t="s">
        <v>336</v>
      </c>
      <c r="D48" s="16" t="s">
        <v>310</v>
      </c>
      <c r="E48" s="16" t="s">
        <v>335</v>
      </c>
      <c r="F48" s="16" t="s">
        <v>508</v>
      </c>
      <c r="G48" s="16" t="s">
        <v>508</v>
      </c>
      <c r="H48" s="16" t="s">
        <v>252</v>
      </c>
      <c r="I48" s="16" t="s">
        <v>458</v>
      </c>
      <c r="J48" s="16" t="s">
        <v>767</v>
      </c>
      <c r="K48" s="16" t="s">
        <v>751</v>
      </c>
      <c r="L48" s="16" t="s">
        <v>743</v>
      </c>
      <c r="M48" s="26">
        <f>COUNTIF('Execution Tracker'!$C$9:$C$400,A48)</f>
        <v>0</v>
      </c>
      <c r="N48" s="26">
        <f>COUNTIFS('Execution Tracker'!$C$9:$C$400,A48,'Execution Tracker'!$G$9:$G$400,"Passed")</f>
        <v>0</v>
      </c>
      <c r="O48" s="26">
        <f>COUNTIFS('Execution Tracker'!$C$9:$C$400,A48,'Execution Tracker'!$G$9:$G$400,"Failed")</f>
        <v>0</v>
      </c>
      <c r="P48" s="26">
        <f>COUNTIFS('Execution Tracker'!$C$9:$C$400,A48,'Execution Tracker'!$G$9:$G$400,"Blocked")</f>
        <v>0</v>
      </c>
      <c r="Q48" s="16"/>
    </row>
    <row r="49" spans="1:17" ht="25.5" x14ac:dyDescent="0.25">
      <c r="A49" s="16" t="s">
        <v>814</v>
      </c>
      <c r="B49" s="25" t="s">
        <v>772</v>
      </c>
      <c r="C49" s="16" t="s">
        <v>341</v>
      </c>
      <c r="D49" s="16" t="s">
        <v>283</v>
      </c>
      <c r="E49" s="16" t="s">
        <v>340</v>
      </c>
      <c r="F49" s="16" t="s">
        <v>522</v>
      </c>
      <c r="G49" s="16" t="s">
        <v>508</v>
      </c>
      <c r="H49" s="16" t="s">
        <v>243</v>
      </c>
      <c r="I49" s="16" t="s">
        <v>436</v>
      </c>
      <c r="J49" s="16" t="s">
        <v>800</v>
      </c>
      <c r="K49" s="16" t="s">
        <v>751</v>
      </c>
      <c r="L49" s="16" t="s">
        <v>747</v>
      </c>
      <c r="M49" s="26">
        <f>COUNTIF('Execution Tracker'!$C$9:$C$400,A49)</f>
        <v>2</v>
      </c>
      <c r="N49" s="26">
        <f>COUNTIFS('Execution Tracker'!$C$9:$C$400,A49,'Execution Tracker'!$G$9:$G$400,"Passed")</f>
        <v>1</v>
      </c>
      <c r="O49" s="26">
        <f>COUNTIFS('Execution Tracker'!$C$9:$C$400,A49,'Execution Tracker'!$G$9:$G$400,"Failed")</f>
        <v>0</v>
      </c>
      <c r="P49" s="26">
        <f>COUNTIFS('Execution Tracker'!$C$9:$C$400,A49,'Execution Tracker'!$G$9:$G$400,"Blocked")</f>
        <v>1</v>
      </c>
      <c r="Q49" s="16"/>
    </row>
    <row r="50" spans="1:17" ht="25.5" x14ac:dyDescent="0.25">
      <c r="A50" s="16" t="s">
        <v>815</v>
      </c>
      <c r="B50" s="25" t="s">
        <v>774</v>
      </c>
      <c r="C50" s="16" t="s">
        <v>347</v>
      </c>
      <c r="D50" s="16" t="s">
        <v>291</v>
      </c>
      <c r="E50" s="16" t="s">
        <v>346</v>
      </c>
      <c r="F50" s="16" t="s">
        <v>504</v>
      </c>
      <c r="G50" s="16" t="s">
        <v>522</v>
      </c>
      <c r="H50" s="16" t="s">
        <v>446</v>
      </c>
      <c r="I50" s="16" t="s">
        <v>436</v>
      </c>
      <c r="J50" s="16" t="s">
        <v>655</v>
      </c>
      <c r="K50" s="16" t="s">
        <v>791</v>
      </c>
      <c r="L50" s="16" t="s">
        <v>743</v>
      </c>
      <c r="M50" s="26">
        <f>COUNTIF('Execution Tracker'!$C$9:$C$400,A50)</f>
        <v>1</v>
      </c>
      <c r="N50" s="26">
        <f>COUNTIFS('Execution Tracker'!$C$9:$C$400,A50,'Execution Tracker'!$G$9:$G$400,"Passed")</f>
        <v>1</v>
      </c>
      <c r="O50" s="26">
        <f>COUNTIFS('Execution Tracker'!$C$9:$C$400,A50,'Execution Tracker'!$G$9:$G$400,"Failed")</f>
        <v>0</v>
      </c>
      <c r="P50" s="26">
        <f>COUNTIFS('Execution Tracker'!$C$9:$C$400,A50,'Execution Tracker'!$G$9:$G$400,"Blocked")</f>
        <v>0</v>
      </c>
      <c r="Q50" s="16"/>
    </row>
    <row r="51" spans="1:17" ht="25.5" x14ac:dyDescent="0.25">
      <c r="A51" s="16" t="s">
        <v>816</v>
      </c>
      <c r="B51" s="25" t="s">
        <v>776</v>
      </c>
      <c r="C51" s="16" t="s">
        <v>352</v>
      </c>
      <c r="D51" s="16" t="s">
        <v>297</v>
      </c>
      <c r="E51" s="16" t="s">
        <v>351</v>
      </c>
      <c r="F51" s="16" t="s">
        <v>522</v>
      </c>
      <c r="G51" s="16" t="s">
        <v>504</v>
      </c>
      <c r="H51" s="16" t="s">
        <v>79</v>
      </c>
      <c r="I51" s="16" t="s">
        <v>449</v>
      </c>
      <c r="J51" s="16" t="s">
        <v>767</v>
      </c>
      <c r="K51" s="16" t="s">
        <v>751</v>
      </c>
      <c r="L51" s="16" t="s">
        <v>743</v>
      </c>
      <c r="M51" s="26">
        <f>COUNTIF('Execution Tracker'!$C$9:$C$400,A51)</f>
        <v>4</v>
      </c>
      <c r="N51" s="26">
        <f>COUNTIFS('Execution Tracker'!$C$9:$C$400,A51,'Execution Tracker'!$G$9:$G$400,"Passed")</f>
        <v>3</v>
      </c>
      <c r="O51" s="26">
        <f>COUNTIFS('Execution Tracker'!$C$9:$C$400,A51,'Execution Tracker'!$G$9:$G$400,"Failed")</f>
        <v>0</v>
      </c>
      <c r="P51" s="26">
        <f>COUNTIFS('Execution Tracker'!$C$9:$C$400,A51,'Execution Tracker'!$G$9:$G$400,"Blocked")</f>
        <v>0</v>
      </c>
      <c r="Q51" s="16"/>
    </row>
    <row r="52" spans="1:17" ht="25.5" x14ac:dyDescent="0.25">
      <c r="A52" s="16" t="s">
        <v>817</v>
      </c>
      <c r="B52" s="25" t="s">
        <v>778</v>
      </c>
      <c r="C52" s="16" t="s">
        <v>357</v>
      </c>
      <c r="D52" s="16" t="s">
        <v>304</v>
      </c>
      <c r="E52" s="16" t="s">
        <v>356</v>
      </c>
      <c r="F52" s="16" t="s">
        <v>508</v>
      </c>
      <c r="G52" s="16" t="s">
        <v>508</v>
      </c>
      <c r="H52" s="16" t="s">
        <v>243</v>
      </c>
      <c r="I52" s="16" t="s">
        <v>449</v>
      </c>
      <c r="J52" s="16" t="s">
        <v>750</v>
      </c>
      <c r="K52" s="16" t="s">
        <v>791</v>
      </c>
      <c r="L52" s="16" t="s">
        <v>796</v>
      </c>
      <c r="M52" s="26">
        <f>COUNTIF('Execution Tracker'!$C$9:$C$400,A52)</f>
        <v>3</v>
      </c>
      <c r="N52" s="26">
        <f>COUNTIFS('Execution Tracker'!$C$9:$C$400,A52,'Execution Tracker'!$G$9:$G$400,"Passed")</f>
        <v>2</v>
      </c>
      <c r="O52" s="26">
        <f>COUNTIFS('Execution Tracker'!$C$9:$C$400,A52,'Execution Tracker'!$G$9:$G$400,"Failed")</f>
        <v>0</v>
      </c>
      <c r="P52" s="26">
        <f>COUNTIFS('Execution Tracker'!$C$9:$C$400,A52,'Execution Tracker'!$G$9:$G$400,"Blocked")</f>
        <v>0</v>
      </c>
      <c r="Q52" s="16"/>
    </row>
    <row r="53" spans="1:17" ht="25.5" x14ac:dyDescent="0.25">
      <c r="A53" s="16" t="s">
        <v>818</v>
      </c>
      <c r="B53" s="25" t="s">
        <v>780</v>
      </c>
      <c r="C53" s="16" t="s">
        <v>362</v>
      </c>
      <c r="D53" s="16" t="s">
        <v>310</v>
      </c>
      <c r="E53" s="16" t="s">
        <v>361</v>
      </c>
      <c r="F53" s="16" t="s">
        <v>508</v>
      </c>
      <c r="G53" s="16" t="s">
        <v>508</v>
      </c>
      <c r="H53" s="16" t="s">
        <v>446</v>
      </c>
      <c r="I53" s="16" t="s">
        <v>458</v>
      </c>
      <c r="J53" s="16" t="s">
        <v>767</v>
      </c>
      <c r="K53" s="16" t="s">
        <v>751</v>
      </c>
      <c r="L53" s="16" t="s">
        <v>796</v>
      </c>
      <c r="M53" s="26">
        <f>COUNTIF('Execution Tracker'!$C$9:$C$400,A53)</f>
        <v>1</v>
      </c>
      <c r="N53" s="26">
        <f>COUNTIFS('Execution Tracker'!$C$9:$C$400,A53,'Execution Tracker'!$G$9:$G$400,"Passed")</f>
        <v>1</v>
      </c>
      <c r="O53" s="26">
        <f>COUNTIFS('Execution Tracker'!$C$9:$C$400,A53,'Execution Tracker'!$G$9:$G$400,"Failed")</f>
        <v>0</v>
      </c>
      <c r="P53" s="26">
        <f>COUNTIFS('Execution Tracker'!$C$9:$C$400,A53,'Execution Tracker'!$G$9:$G$400,"Blocked")</f>
        <v>0</v>
      </c>
      <c r="Q53" s="16"/>
    </row>
    <row r="54" spans="1:17" ht="25.5" x14ac:dyDescent="0.25">
      <c r="A54" s="16" t="s">
        <v>819</v>
      </c>
      <c r="B54" s="25" t="s">
        <v>782</v>
      </c>
      <c r="C54" s="16" t="s">
        <v>367</v>
      </c>
      <c r="D54" s="16" t="s">
        <v>283</v>
      </c>
      <c r="E54" s="16" t="s">
        <v>366</v>
      </c>
      <c r="F54" s="16" t="s">
        <v>522</v>
      </c>
      <c r="G54" s="16" t="s">
        <v>508</v>
      </c>
      <c r="H54" s="16" t="s">
        <v>252</v>
      </c>
      <c r="I54" s="16" t="s">
        <v>436</v>
      </c>
      <c r="J54" s="16" t="s">
        <v>754</v>
      </c>
      <c r="K54" s="16" t="s">
        <v>791</v>
      </c>
      <c r="L54" s="16" t="s">
        <v>743</v>
      </c>
      <c r="M54" s="26">
        <f>COUNTIF('Execution Tracker'!$C$9:$C$400,A54)</f>
        <v>4</v>
      </c>
      <c r="N54" s="26">
        <f>COUNTIFS('Execution Tracker'!$C$9:$C$400,A54,'Execution Tracker'!$G$9:$G$400,"Passed")</f>
        <v>2</v>
      </c>
      <c r="O54" s="26">
        <f>COUNTIFS('Execution Tracker'!$C$9:$C$400,A54,'Execution Tracker'!$G$9:$G$400,"Failed")</f>
        <v>1</v>
      </c>
      <c r="P54" s="26">
        <f>COUNTIFS('Execution Tracker'!$C$9:$C$400,A54,'Execution Tracker'!$G$9:$G$400,"Blocked")</f>
        <v>1</v>
      </c>
      <c r="Q54" s="16"/>
    </row>
    <row r="55" spans="1:17" ht="25.5" x14ac:dyDescent="0.25">
      <c r="A55" s="16" t="s">
        <v>820</v>
      </c>
      <c r="B55" s="25" t="s">
        <v>784</v>
      </c>
      <c r="C55" s="16" t="s">
        <v>372</v>
      </c>
      <c r="D55" s="16" t="s">
        <v>291</v>
      </c>
      <c r="E55" s="16" t="s">
        <v>371</v>
      </c>
      <c r="F55" s="16" t="s">
        <v>522</v>
      </c>
      <c r="G55" s="16" t="s">
        <v>508</v>
      </c>
      <c r="H55" s="16" t="s">
        <v>252</v>
      </c>
      <c r="I55" s="16" t="s">
        <v>436</v>
      </c>
      <c r="J55" s="16" t="s">
        <v>750</v>
      </c>
      <c r="K55" s="16" t="s">
        <v>746</v>
      </c>
      <c r="L55" s="16" t="s">
        <v>743</v>
      </c>
      <c r="M55" s="26">
        <f>COUNTIF('Execution Tracker'!$C$9:$C$400,A55)</f>
        <v>0</v>
      </c>
      <c r="N55" s="26">
        <f>COUNTIFS('Execution Tracker'!$C$9:$C$400,A55,'Execution Tracker'!$G$9:$G$400,"Passed")</f>
        <v>0</v>
      </c>
      <c r="O55" s="26">
        <f>COUNTIFS('Execution Tracker'!$C$9:$C$400,A55,'Execution Tracker'!$G$9:$G$400,"Failed")</f>
        <v>0</v>
      </c>
      <c r="P55" s="26">
        <f>COUNTIFS('Execution Tracker'!$C$9:$C$400,A55,'Execution Tracker'!$G$9:$G$400,"Blocked")</f>
        <v>0</v>
      </c>
      <c r="Q55" s="16"/>
    </row>
    <row r="56" spans="1:17" ht="25.5" x14ac:dyDescent="0.25">
      <c r="A56" s="16" t="s">
        <v>821</v>
      </c>
      <c r="B56" s="25" t="s">
        <v>786</v>
      </c>
      <c r="C56" s="16" t="s">
        <v>377</v>
      </c>
      <c r="D56" s="16" t="s">
        <v>297</v>
      </c>
      <c r="E56" s="16" t="s">
        <v>376</v>
      </c>
      <c r="F56" s="16" t="s">
        <v>504</v>
      </c>
      <c r="G56" s="16" t="s">
        <v>522</v>
      </c>
      <c r="H56" s="16" t="s">
        <v>484</v>
      </c>
      <c r="I56" s="16" t="s">
        <v>449</v>
      </c>
      <c r="J56" s="16" t="s">
        <v>754</v>
      </c>
      <c r="K56" s="16" t="s">
        <v>742</v>
      </c>
      <c r="L56" s="16" t="s">
        <v>796</v>
      </c>
      <c r="M56" s="26">
        <f>COUNTIF('Execution Tracker'!$C$9:$C$400,A56)</f>
        <v>1</v>
      </c>
      <c r="N56" s="26">
        <f>COUNTIFS('Execution Tracker'!$C$9:$C$400,A56,'Execution Tracker'!$G$9:$G$400,"Passed")</f>
        <v>0</v>
      </c>
      <c r="O56" s="26">
        <f>COUNTIFS('Execution Tracker'!$C$9:$C$400,A56,'Execution Tracker'!$G$9:$G$400,"Failed")</f>
        <v>0</v>
      </c>
      <c r="P56" s="26">
        <f>COUNTIFS('Execution Tracker'!$C$9:$C$400,A56,'Execution Tracker'!$G$9:$G$400,"Blocked")</f>
        <v>1</v>
      </c>
      <c r="Q56" s="16"/>
    </row>
    <row r="57" spans="1:17" ht="25.5" x14ac:dyDescent="0.25">
      <c r="A57" s="16" t="s">
        <v>822</v>
      </c>
      <c r="B57" s="25" t="s">
        <v>788</v>
      </c>
      <c r="C57" s="16" t="s">
        <v>382</v>
      </c>
      <c r="D57" s="16" t="s">
        <v>304</v>
      </c>
      <c r="E57" s="16" t="s">
        <v>381</v>
      </c>
      <c r="F57" s="16" t="s">
        <v>508</v>
      </c>
      <c r="G57" s="16" t="s">
        <v>508</v>
      </c>
      <c r="H57" s="16" t="s">
        <v>252</v>
      </c>
      <c r="I57" s="16" t="s">
        <v>449</v>
      </c>
      <c r="J57" s="16" t="s">
        <v>767</v>
      </c>
      <c r="K57" s="16" t="s">
        <v>746</v>
      </c>
      <c r="L57" s="16" t="s">
        <v>747</v>
      </c>
      <c r="M57" s="26">
        <f>COUNTIF('Execution Tracker'!$C$9:$C$400,A57)</f>
        <v>1</v>
      </c>
      <c r="N57" s="26">
        <f>COUNTIFS('Execution Tracker'!$C$9:$C$400,A57,'Execution Tracker'!$G$9:$G$400,"Passed")</f>
        <v>1</v>
      </c>
      <c r="O57" s="26">
        <f>COUNTIFS('Execution Tracker'!$C$9:$C$400,A57,'Execution Tracker'!$G$9:$G$400,"Failed")</f>
        <v>0</v>
      </c>
      <c r="P57" s="26">
        <f>COUNTIFS('Execution Tracker'!$C$9:$C$400,A57,'Execution Tracker'!$G$9:$G$400,"Blocked")</f>
        <v>0</v>
      </c>
      <c r="Q57" s="16"/>
    </row>
    <row r="58" spans="1:17" ht="25.5" x14ac:dyDescent="0.25">
      <c r="A58" s="16" t="s">
        <v>823</v>
      </c>
      <c r="B58" s="25" t="s">
        <v>790</v>
      </c>
      <c r="C58" s="16" t="s">
        <v>387</v>
      </c>
      <c r="D58" s="16" t="s">
        <v>310</v>
      </c>
      <c r="E58" s="16" t="s">
        <v>386</v>
      </c>
      <c r="F58" s="16" t="s">
        <v>508</v>
      </c>
      <c r="G58" s="16" t="s">
        <v>522</v>
      </c>
      <c r="H58" s="16" t="s">
        <v>79</v>
      </c>
      <c r="I58" s="16" t="s">
        <v>458</v>
      </c>
      <c r="J58" s="16" t="s">
        <v>767</v>
      </c>
      <c r="K58" s="16" t="s">
        <v>791</v>
      </c>
      <c r="L58" s="16" t="s">
        <v>796</v>
      </c>
      <c r="M58" s="26">
        <f>COUNTIF('Execution Tracker'!$C$9:$C$400,A58)</f>
        <v>1</v>
      </c>
      <c r="N58" s="26">
        <f>COUNTIFS('Execution Tracker'!$C$9:$C$400,A58,'Execution Tracker'!$G$9:$G$400,"Passed")</f>
        <v>0</v>
      </c>
      <c r="O58" s="26">
        <f>COUNTIFS('Execution Tracker'!$C$9:$C$400,A58,'Execution Tracker'!$G$9:$G$400,"Failed")</f>
        <v>1</v>
      </c>
      <c r="P58" s="26">
        <f>COUNTIFS('Execution Tracker'!$C$9:$C$400,A58,'Execution Tracker'!$G$9:$G$400,"Blocked")</f>
        <v>0</v>
      </c>
      <c r="Q58" s="16"/>
    </row>
    <row r="59" spans="1:17" ht="25.5" x14ac:dyDescent="0.25">
      <c r="A59" s="16" t="s">
        <v>824</v>
      </c>
      <c r="B59" s="25" t="s">
        <v>741</v>
      </c>
      <c r="C59" s="16" t="s">
        <v>282</v>
      </c>
      <c r="D59" s="16" t="s">
        <v>283</v>
      </c>
      <c r="E59" s="16" t="s">
        <v>391</v>
      </c>
      <c r="F59" s="16" t="s">
        <v>522</v>
      </c>
      <c r="G59" s="16" t="s">
        <v>508</v>
      </c>
      <c r="H59" s="16" t="s">
        <v>484</v>
      </c>
      <c r="I59" s="16" t="s">
        <v>436</v>
      </c>
      <c r="J59" s="16" t="s">
        <v>767</v>
      </c>
      <c r="K59" s="16" t="s">
        <v>742</v>
      </c>
      <c r="L59" s="16" t="s">
        <v>743</v>
      </c>
      <c r="M59" s="26">
        <f>COUNTIF('Execution Tracker'!$C$9:$C$400,A59)</f>
        <v>5</v>
      </c>
      <c r="N59" s="26">
        <f>COUNTIFS('Execution Tracker'!$C$9:$C$400,A59,'Execution Tracker'!$G$9:$G$400,"Passed")</f>
        <v>4</v>
      </c>
      <c r="O59" s="26">
        <f>COUNTIFS('Execution Tracker'!$C$9:$C$400,A59,'Execution Tracker'!$G$9:$G$400,"Failed")</f>
        <v>1</v>
      </c>
      <c r="P59" s="26">
        <f>COUNTIFS('Execution Tracker'!$C$9:$C$400,A59,'Execution Tracker'!$G$9:$G$400,"Blocked")</f>
        <v>0</v>
      </c>
      <c r="Q59" s="16"/>
    </row>
    <row r="60" spans="1:17" ht="25.5" x14ac:dyDescent="0.25">
      <c r="A60" s="16" t="s">
        <v>825</v>
      </c>
      <c r="B60" s="25" t="s">
        <v>745</v>
      </c>
      <c r="C60" s="16" t="s">
        <v>290</v>
      </c>
      <c r="D60" s="16" t="s">
        <v>291</v>
      </c>
      <c r="E60" s="16" t="s">
        <v>393</v>
      </c>
      <c r="F60" s="16" t="s">
        <v>504</v>
      </c>
      <c r="G60" s="16" t="s">
        <v>504</v>
      </c>
      <c r="H60" s="16" t="s">
        <v>269</v>
      </c>
      <c r="I60" s="16" t="s">
        <v>436</v>
      </c>
      <c r="J60" s="16" t="s">
        <v>754</v>
      </c>
      <c r="K60" s="16" t="s">
        <v>757</v>
      </c>
      <c r="L60" s="16" t="s">
        <v>747</v>
      </c>
      <c r="M60" s="26">
        <f>COUNTIF('Execution Tracker'!$C$9:$C$400,A60)</f>
        <v>0</v>
      </c>
      <c r="N60" s="26">
        <f>COUNTIFS('Execution Tracker'!$C$9:$C$400,A60,'Execution Tracker'!$G$9:$G$400,"Passed")</f>
        <v>0</v>
      </c>
      <c r="O60" s="26">
        <f>COUNTIFS('Execution Tracker'!$C$9:$C$400,A60,'Execution Tracker'!$G$9:$G$400,"Failed")</f>
        <v>0</v>
      </c>
      <c r="P60" s="26">
        <f>COUNTIFS('Execution Tracker'!$C$9:$C$400,A60,'Execution Tracker'!$G$9:$G$400,"Blocked")</f>
        <v>0</v>
      </c>
      <c r="Q60" s="16"/>
    </row>
    <row r="61" spans="1:17" ht="25.5" x14ac:dyDescent="0.25">
      <c r="A61" s="16" t="s">
        <v>826</v>
      </c>
      <c r="B61" s="25" t="s">
        <v>749</v>
      </c>
      <c r="C61" s="16" t="s">
        <v>296</v>
      </c>
      <c r="D61" s="16" t="s">
        <v>297</v>
      </c>
      <c r="E61" s="16" t="s">
        <v>396</v>
      </c>
      <c r="F61" s="16" t="s">
        <v>508</v>
      </c>
      <c r="G61" s="16" t="s">
        <v>508</v>
      </c>
      <c r="H61" s="16" t="s">
        <v>484</v>
      </c>
      <c r="I61" s="16" t="s">
        <v>449</v>
      </c>
      <c r="J61" s="16" t="s">
        <v>750</v>
      </c>
      <c r="K61" s="16" t="s">
        <v>757</v>
      </c>
      <c r="L61" s="16" t="s">
        <v>747</v>
      </c>
      <c r="M61" s="26">
        <f>COUNTIF('Execution Tracker'!$C$9:$C$400,A61)</f>
        <v>2</v>
      </c>
      <c r="N61" s="26">
        <f>COUNTIFS('Execution Tracker'!$C$9:$C$400,A61,'Execution Tracker'!$G$9:$G$400,"Passed")</f>
        <v>2</v>
      </c>
      <c r="O61" s="26">
        <f>COUNTIFS('Execution Tracker'!$C$9:$C$400,A61,'Execution Tracker'!$G$9:$G$400,"Failed")</f>
        <v>0</v>
      </c>
      <c r="P61" s="26">
        <f>COUNTIFS('Execution Tracker'!$C$9:$C$400,A61,'Execution Tracker'!$G$9:$G$400,"Blocked")</f>
        <v>0</v>
      </c>
      <c r="Q61" s="16"/>
    </row>
    <row r="62" spans="1:17" ht="25.5" x14ac:dyDescent="0.25">
      <c r="A62" s="16" t="s">
        <v>827</v>
      </c>
      <c r="B62" s="25" t="s">
        <v>753</v>
      </c>
      <c r="C62" s="16" t="s">
        <v>303</v>
      </c>
      <c r="D62" s="16" t="s">
        <v>304</v>
      </c>
      <c r="E62" s="16" t="s">
        <v>399</v>
      </c>
      <c r="F62" s="16" t="s">
        <v>522</v>
      </c>
      <c r="G62" s="16" t="s">
        <v>522</v>
      </c>
      <c r="H62" s="16" t="s">
        <v>343</v>
      </c>
      <c r="I62" s="16" t="s">
        <v>449</v>
      </c>
      <c r="J62" s="16" t="s">
        <v>800</v>
      </c>
      <c r="K62" s="16" t="s">
        <v>742</v>
      </c>
      <c r="L62" s="16" t="s">
        <v>796</v>
      </c>
      <c r="M62" s="26">
        <f>COUNTIF('Execution Tracker'!$C$9:$C$400,A62)</f>
        <v>1</v>
      </c>
      <c r="N62" s="26">
        <f>COUNTIFS('Execution Tracker'!$C$9:$C$400,A62,'Execution Tracker'!$G$9:$G$400,"Passed")</f>
        <v>1</v>
      </c>
      <c r="O62" s="26">
        <f>COUNTIFS('Execution Tracker'!$C$9:$C$400,A62,'Execution Tracker'!$G$9:$G$400,"Failed")</f>
        <v>0</v>
      </c>
      <c r="P62" s="26">
        <f>COUNTIFS('Execution Tracker'!$C$9:$C$400,A62,'Execution Tracker'!$G$9:$G$400,"Blocked")</f>
        <v>0</v>
      </c>
      <c r="Q62" s="16"/>
    </row>
    <row r="63" spans="1:17" ht="25.5" x14ac:dyDescent="0.25">
      <c r="A63" s="16" t="s">
        <v>828</v>
      </c>
      <c r="B63" s="25" t="s">
        <v>756</v>
      </c>
      <c r="C63" s="16" t="s">
        <v>309</v>
      </c>
      <c r="D63" s="16" t="s">
        <v>310</v>
      </c>
      <c r="E63" s="16" t="s">
        <v>401</v>
      </c>
      <c r="F63" s="16" t="s">
        <v>504</v>
      </c>
      <c r="G63" s="16" t="s">
        <v>504</v>
      </c>
      <c r="H63" s="16" t="s">
        <v>484</v>
      </c>
      <c r="I63" s="16" t="s">
        <v>458</v>
      </c>
      <c r="J63" s="16" t="s">
        <v>767</v>
      </c>
      <c r="K63" s="16" t="s">
        <v>751</v>
      </c>
      <c r="L63" s="16" t="s">
        <v>796</v>
      </c>
      <c r="M63" s="26">
        <f>COUNTIF('Execution Tracker'!$C$9:$C$400,A63)</f>
        <v>0</v>
      </c>
      <c r="N63" s="26">
        <f>COUNTIFS('Execution Tracker'!$C$9:$C$400,A63,'Execution Tracker'!$G$9:$G$400,"Passed")</f>
        <v>0</v>
      </c>
      <c r="O63" s="26">
        <f>COUNTIFS('Execution Tracker'!$C$9:$C$400,A63,'Execution Tracker'!$G$9:$G$400,"Failed")</f>
        <v>0</v>
      </c>
      <c r="P63" s="26">
        <f>COUNTIFS('Execution Tracker'!$C$9:$C$400,A63,'Execution Tracker'!$G$9:$G$400,"Blocked")</f>
        <v>0</v>
      </c>
      <c r="Q63" s="16"/>
    </row>
    <row r="64" spans="1:17" ht="25.5" x14ac:dyDescent="0.25">
      <c r="A64" s="16" t="s">
        <v>829</v>
      </c>
      <c r="B64" s="25" t="s">
        <v>759</v>
      </c>
      <c r="C64" s="16" t="s">
        <v>316</v>
      </c>
      <c r="D64" s="16" t="s">
        <v>283</v>
      </c>
      <c r="E64" s="16" t="s">
        <v>405</v>
      </c>
      <c r="F64" s="16" t="s">
        <v>508</v>
      </c>
      <c r="G64" s="16" t="s">
        <v>508</v>
      </c>
      <c r="H64" s="16" t="s">
        <v>269</v>
      </c>
      <c r="I64" s="16" t="s">
        <v>436</v>
      </c>
      <c r="J64" s="16" t="s">
        <v>800</v>
      </c>
      <c r="K64" s="16" t="s">
        <v>757</v>
      </c>
      <c r="L64" s="16" t="s">
        <v>796</v>
      </c>
      <c r="M64" s="26">
        <f>COUNTIF('Execution Tracker'!$C$9:$C$400,A64)</f>
        <v>0</v>
      </c>
      <c r="N64" s="26">
        <f>COUNTIFS('Execution Tracker'!$C$9:$C$400,A64,'Execution Tracker'!$G$9:$G$400,"Passed")</f>
        <v>0</v>
      </c>
      <c r="O64" s="26">
        <f>COUNTIFS('Execution Tracker'!$C$9:$C$400,A64,'Execution Tracker'!$G$9:$G$400,"Failed")</f>
        <v>0</v>
      </c>
      <c r="P64" s="26">
        <f>COUNTIFS('Execution Tracker'!$C$9:$C$400,A64,'Execution Tracker'!$G$9:$G$400,"Blocked")</f>
        <v>0</v>
      </c>
      <c r="Q64" s="16"/>
    </row>
    <row r="65" spans="1:17" ht="25.5" x14ac:dyDescent="0.25">
      <c r="A65" s="16" t="s">
        <v>830</v>
      </c>
      <c r="B65" s="25" t="s">
        <v>761</v>
      </c>
      <c r="C65" s="16" t="s">
        <v>321</v>
      </c>
      <c r="D65" s="16" t="s">
        <v>291</v>
      </c>
      <c r="E65" s="16" t="s">
        <v>408</v>
      </c>
      <c r="F65" s="16" t="s">
        <v>504</v>
      </c>
      <c r="G65" s="16" t="s">
        <v>508</v>
      </c>
      <c r="H65" s="16" t="s">
        <v>460</v>
      </c>
      <c r="I65" s="16" t="s">
        <v>436</v>
      </c>
      <c r="J65" s="16" t="s">
        <v>767</v>
      </c>
      <c r="K65" s="16" t="s">
        <v>742</v>
      </c>
      <c r="L65" s="16" t="s">
        <v>747</v>
      </c>
      <c r="M65" s="26">
        <f>COUNTIF('Execution Tracker'!$C$9:$C$400,A65)</f>
        <v>0</v>
      </c>
      <c r="N65" s="26">
        <f>COUNTIFS('Execution Tracker'!$C$9:$C$400,A65,'Execution Tracker'!$G$9:$G$400,"Passed")</f>
        <v>0</v>
      </c>
      <c r="O65" s="26">
        <f>COUNTIFS('Execution Tracker'!$C$9:$C$400,A65,'Execution Tracker'!$G$9:$G$400,"Failed")</f>
        <v>0</v>
      </c>
      <c r="P65" s="26">
        <f>COUNTIFS('Execution Tracker'!$C$9:$C$400,A65,'Execution Tracker'!$G$9:$G$400,"Blocked")</f>
        <v>0</v>
      </c>
      <c r="Q65" s="16"/>
    </row>
    <row r="66" spans="1:17" ht="25.5" x14ac:dyDescent="0.25">
      <c r="A66" s="16" t="s">
        <v>831</v>
      </c>
      <c r="B66" s="25" t="s">
        <v>763</v>
      </c>
      <c r="C66" s="16" t="s">
        <v>326</v>
      </c>
      <c r="D66" s="16" t="s">
        <v>297</v>
      </c>
      <c r="E66" s="16" t="s">
        <v>410</v>
      </c>
      <c r="F66" s="16" t="s">
        <v>522</v>
      </c>
      <c r="G66" s="16" t="s">
        <v>508</v>
      </c>
      <c r="H66" s="16" t="s">
        <v>79</v>
      </c>
      <c r="I66" s="16" t="s">
        <v>449</v>
      </c>
      <c r="J66" s="16" t="s">
        <v>754</v>
      </c>
      <c r="K66" s="16" t="s">
        <v>751</v>
      </c>
      <c r="L66" s="16" t="s">
        <v>747</v>
      </c>
      <c r="M66" s="26">
        <f>COUNTIF('Execution Tracker'!$C$9:$C$400,A66)</f>
        <v>3</v>
      </c>
      <c r="N66" s="26">
        <f>COUNTIFS('Execution Tracker'!$C$9:$C$400,A66,'Execution Tracker'!$G$9:$G$400,"Passed")</f>
        <v>3</v>
      </c>
      <c r="O66" s="26">
        <f>COUNTIFS('Execution Tracker'!$C$9:$C$400,A66,'Execution Tracker'!$G$9:$G$400,"Failed")</f>
        <v>0</v>
      </c>
      <c r="P66" s="26">
        <f>COUNTIFS('Execution Tracker'!$C$9:$C$400,A66,'Execution Tracker'!$G$9:$G$400,"Blocked")</f>
        <v>0</v>
      </c>
      <c r="Q66" s="16"/>
    </row>
    <row r="67" spans="1:17" ht="25.5" x14ac:dyDescent="0.25">
      <c r="A67" s="16" t="s">
        <v>832</v>
      </c>
      <c r="B67" s="25" t="s">
        <v>765</v>
      </c>
      <c r="C67" s="16" t="s">
        <v>331</v>
      </c>
      <c r="D67" s="16" t="s">
        <v>304</v>
      </c>
      <c r="E67" s="16" t="s">
        <v>415</v>
      </c>
      <c r="F67" s="16" t="s">
        <v>522</v>
      </c>
      <c r="G67" s="16" t="s">
        <v>504</v>
      </c>
      <c r="H67" s="16" t="s">
        <v>476</v>
      </c>
      <c r="I67" s="16" t="s">
        <v>449</v>
      </c>
      <c r="J67" s="16" t="s">
        <v>655</v>
      </c>
      <c r="K67" s="16" t="s">
        <v>742</v>
      </c>
      <c r="L67" s="16" t="s">
        <v>747</v>
      </c>
      <c r="M67" s="26">
        <f>COUNTIF('Execution Tracker'!$C$9:$C$400,A67)</f>
        <v>4</v>
      </c>
      <c r="N67" s="26">
        <f>COUNTIFS('Execution Tracker'!$C$9:$C$400,A67,'Execution Tracker'!$G$9:$G$400,"Passed")</f>
        <v>3</v>
      </c>
      <c r="O67" s="26">
        <f>COUNTIFS('Execution Tracker'!$C$9:$C$400,A67,'Execution Tracker'!$G$9:$G$400,"Failed")</f>
        <v>0</v>
      </c>
      <c r="P67" s="26">
        <f>COUNTIFS('Execution Tracker'!$C$9:$C$400,A67,'Execution Tracker'!$G$9:$G$400,"Blocked")</f>
        <v>0</v>
      </c>
      <c r="Q67" s="16"/>
    </row>
    <row r="68" spans="1:17" ht="25.5" x14ac:dyDescent="0.25">
      <c r="A68" s="16" t="s">
        <v>833</v>
      </c>
      <c r="B68" s="25" t="s">
        <v>770</v>
      </c>
      <c r="C68" s="16" t="s">
        <v>336</v>
      </c>
      <c r="D68" s="16" t="s">
        <v>310</v>
      </c>
      <c r="E68" s="16" t="s">
        <v>418</v>
      </c>
      <c r="F68" s="16" t="s">
        <v>522</v>
      </c>
      <c r="G68" s="16" t="s">
        <v>508</v>
      </c>
      <c r="H68" s="16" t="s">
        <v>252</v>
      </c>
      <c r="I68" s="16" t="s">
        <v>458</v>
      </c>
      <c r="J68" s="16" t="s">
        <v>655</v>
      </c>
      <c r="K68" s="16" t="s">
        <v>742</v>
      </c>
      <c r="L68" s="16" t="s">
        <v>747</v>
      </c>
      <c r="M68" s="26">
        <f>COUNTIF('Execution Tracker'!$C$9:$C$400,A68)</f>
        <v>4</v>
      </c>
      <c r="N68" s="26">
        <f>COUNTIFS('Execution Tracker'!$C$9:$C$400,A68,'Execution Tracker'!$G$9:$G$400,"Passed")</f>
        <v>1</v>
      </c>
      <c r="O68" s="26">
        <f>COUNTIFS('Execution Tracker'!$C$9:$C$400,A68,'Execution Tracker'!$G$9:$G$400,"Failed")</f>
        <v>1</v>
      </c>
      <c r="P68" s="26">
        <f>COUNTIFS('Execution Tracker'!$C$9:$C$400,A68,'Execution Tracker'!$G$9:$G$400,"Blocked")</f>
        <v>2</v>
      </c>
      <c r="Q68" s="16"/>
    </row>
    <row r="69" spans="1:17" ht="25.5" x14ac:dyDescent="0.25">
      <c r="A69" s="16" t="s">
        <v>834</v>
      </c>
      <c r="B69" s="25" t="s">
        <v>741</v>
      </c>
      <c r="C69" s="16" t="s">
        <v>282</v>
      </c>
      <c r="D69" s="16" t="s">
        <v>283</v>
      </c>
      <c r="E69" s="16" t="s">
        <v>281</v>
      </c>
      <c r="F69" s="16" t="s">
        <v>522</v>
      </c>
      <c r="G69" s="16" t="s">
        <v>504</v>
      </c>
      <c r="H69" s="16" t="s">
        <v>484</v>
      </c>
      <c r="I69" s="16" t="s">
        <v>436</v>
      </c>
      <c r="J69" s="16" t="s">
        <v>750</v>
      </c>
      <c r="K69" s="16" t="s">
        <v>791</v>
      </c>
      <c r="L69" s="16" t="s">
        <v>796</v>
      </c>
      <c r="M69" s="26">
        <f>COUNTIF('Execution Tracker'!$C$9:$C$400,A69)</f>
        <v>2</v>
      </c>
      <c r="N69" s="26">
        <f>COUNTIFS('Execution Tracker'!$C$9:$C$400,A69,'Execution Tracker'!$G$9:$G$400,"Passed")</f>
        <v>1</v>
      </c>
      <c r="O69" s="26">
        <f>COUNTIFS('Execution Tracker'!$C$9:$C$400,A69,'Execution Tracker'!$G$9:$G$400,"Failed")</f>
        <v>1</v>
      </c>
      <c r="P69" s="26">
        <f>COUNTIFS('Execution Tracker'!$C$9:$C$400,A69,'Execution Tracker'!$G$9:$G$400,"Blocked")</f>
        <v>0</v>
      </c>
      <c r="Q69" s="16"/>
    </row>
    <row r="70" spans="1:17" ht="25.5" x14ac:dyDescent="0.25">
      <c r="A70" s="16" t="s">
        <v>835</v>
      </c>
      <c r="B70" s="25" t="s">
        <v>745</v>
      </c>
      <c r="C70" s="16" t="s">
        <v>290</v>
      </c>
      <c r="D70" s="16" t="s">
        <v>291</v>
      </c>
      <c r="E70" s="16" t="s">
        <v>289</v>
      </c>
      <c r="F70" s="16" t="s">
        <v>504</v>
      </c>
      <c r="G70" s="16" t="s">
        <v>522</v>
      </c>
      <c r="H70" s="16" t="s">
        <v>269</v>
      </c>
      <c r="I70" s="16" t="s">
        <v>436</v>
      </c>
      <c r="J70" s="16" t="s">
        <v>800</v>
      </c>
      <c r="K70" s="16" t="s">
        <v>742</v>
      </c>
      <c r="L70" s="16" t="s">
        <v>747</v>
      </c>
      <c r="M70" s="26">
        <f>COUNTIF('Execution Tracker'!$C$9:$C$400,A70)</f>
        <v>2</v>
      </c>
      <c r="N70" s="26">
        <f>COUNTIFS('Execution Tracker'!$C$9:$C$400,A70,'Execution Tracker'!$G$9:$G$400,"Passed")</f>
        <v>2</v>
      </c>
      <c r="O70" s="26">
        <f>COUNTIFS('Execution Tracker'!$C$9:$C$400,A70,'Execution Tracker'!$G$9:$G$400,"Failed")</f>
        <v>0</v>
      </c>
      <c r="P70" s="26">
        <f>COUNTIFS('Execution Tracker'!$C$9:$C$400,A70,'Execution Tracker'!$G$9:$G$400,"Blocked")</f>
        <v>0</v>
      </c>
      <c r="Q70" s="16"/>
    </row>
    <row r="71" spans="1:17" ht="25.5" x14ac:dyDescent="0.25">
      <c r="A71" s="16" t="s">
        <v>836</v>
      </c>
      <c r="B71" s="25" t="s">
        <v>749</v>
      </c>
      <c r="C71" s="16" t="s">
        <v>296</v>
      </c>
      <c r="D71" s="16" t="s">
        <v>297</v>
      </c>
      <c r="E71" s="16" t="s">
        <v>295</v>
      </c>
      <c r="F71" s="16" t="s">
        <v>508</v>
      </c>
      <c r="G71" s="16" t="s">
        <v>508</v>
      </c>
      <c r="H71" s="16" t="s">
        <v>456</v>
      </c>
      <c r="I71" s="16" t="s">
        <v>449</v>
      </c>
      <c r="J71" s="16" t="s">
        <v>754</v>
      </c>
      <c r="K71" s="16" t="s">
        <v>746</v>
      </c>
      <c r="L71" s="16" t="s">
        <v>796</v>
      </c>
      <c r="M71" s="26">
        <f>COUNTIF('Execution Tracker'!$C$9:$C$400,A71)</f>
        <v>1</v>
      </c>
      <c r="N71" s="26">
        <f>COUNTIFS('Execution Tracker'!$C$9:$C$400,A71,'Execution Tracker'!$G$9:$G$400,"Passed")</f>
        <v>0</v>
      </c>
      <c r="O71" s="26">
        <f>COUNTIFS('Execution Tracker'!$C$9:$C$400,A71,'Execution Tracker'!$G$9:$G$400,"Failed")</f>
        <v>0</v>
      </c>
      <c r="P71" s="26">
        <f>COUNTIFS('Execution Tracker'!$C$9:$C$400,A71,'Execution Tracker'!$G$9:$G$400,"Blocked")</f>
        <v>1</v>
      </c>
      <c r="Q71" s="16"/>
    </row>
    <row r="72" spans="1:17" ht="25.5" x14ac:dyDescent="0.25">
      <c r="A72" s="16" t="s">
        <v>837</v>
      </c>
      <c r="B72" s="25" t="s">
        <v>753</v>
      </c>
      <c r="C72" s="16" t="s">
        <v>303</v>
      </c>
      <c r="D72" s="16" t="s">
        <v>304</v>
      </c>
      <c r="E72" s="16" t="s">
        <v>302</v>
      </c>
      <c r="F72" s="16" t="s">
        <v>508</v>
      </c>
      <c r="G72" s="16" t="s">
        <v>508</v>
      </c>
      <c r="H72" s="16" t="s">
        <v>476</v>
      </c>
      <c r="I72" s="16" t="s">
        <v>449</v>
      </c>
      <c r="J72" s="16" t="s">
        <v>655</v>
      </c>
      <c r="K72" s="16" t="s">
        <v>751</v>
      </c>
      <c r="L72" s="16" t="s">
        <v>747</v>
      </c>
      <c r="M72" s="26">
        <f>COUNTIF('Execution Tracker'!$C$9:$C$400,A72)</f>
        <v>3</v>
      </c>
      <c r="N72" s="26">
        <f>COUNTIFS('Execution Tracker'!$C$9:$C$400,A72,'Execution Tracker'!$G$9:$G$400,"Passed")</f>
        <v>2</v>
      </c>
      <c r="O72" s="26">
        <f>COUNTIFS('Execution Tracker'!$C$9:$C$400,A72,'Execution Tracker'!$G$9:$G$400,"Failed")</f>
        <v>1</v>
      </c>
      <c r="P72" s="26">
        <f>COUNTIFS('Execution Tracker'!$C$9:$C$400,A72,'Execution Tracker'!$G$9:$G$400,"Blocked")</f>
        <v>0</v>
      </c>
      <c r="Q72" s="16"/>
    </row>
    <row r="73" spans="1:17" ht="25.5" x14ac:dyDescent="0.25">
      <c r="A73" s="16" t="s">
        <v>838</v>
      </c>
      <c r="B73" s="25" t="s">
        <v>756</v>
      </c>
      <c r="C73" s="16" t="s">
        <v>309</v>
      </c>
      <c r="D73" s="16" t="s">
        <v>310</v>
      </c>
      <c r="E73" s="16" t="s">
        <v>308</v>
      </c>
      <c r="F73" s="16" t="s">
        <v>508</v>
      </c>
      <c r="G73" s="16" t="s">
        <v>508</v>
      </c>
      <c r="H73" s="16" t="s">
        <v>243</v>
      </c>
      <c r="I73" s="16" t="s">
        <v>458</v>
      </c>
      <c r="J73" s="16" t="s">
        <v>750</v>
      </c>
      <c r="K73" s="16" t="s">
        <v>757</v>
      </c>
      <c r="L73" s="16" t="s">
        <v>796</v>
      </c>
      <c r="M73" s="26">
        <f>COUNTIF('Execution Tracker'!$C$9:$C$400,A73)</f>
        <v>1</v>
      </c>
      <c r="N73" s="26">
        <f>COUNTIFS('Execution Tracker'!$C$9:$C$400,A73,'Execution Tracker'!$G$9:$G$400,"Passed")</f>
        <v>1</v>
      </c>
      <c r="O73" s="26">
        <f>COUNTIFS('Execution Tracker'!$C$9:$C$400,A73,'Execution Tracker'!$G$9:$G$400,"Failed")</f>
        <v>0</v>
      </c>
      <c r="P73" s="26">
        <f>COUNTIFS('Execution Tracker'!$C$9:$C$400,A73,'Execution Tracker'!$G$9:$G$400,"Blocked")</f>
        <v>0</v>
      </c>
      <c r="Q73" s="16"/>
    </row>
    <row r="74" spans="1:17" ht="25.5" x14ac:dyDescent="0.25">
      <c r="A74" s="16" t="s">
        <v>839</v>
      </c>
      <c r="B74" s="25" t="s">
        <v>759</v>
      </c>
      <c r="C74" s="16" t="s">
        <v>316</v>
      </c>
      <c r="D74" s="16" t="s">
        <v>283</v>
      </c>
      <c r="E74" s="16" t="s">
        <v>315</v>
      </c>
      <c r="F74" s="16" t="s">
        <v>508</v>
      </c>
      <c r="G74" s="16" t="s">
        <v>508</v>
      </c>
      <c r="H74" s="16" t="s">
        <v>343</v>
      </c>
      <c r="I74" s="16" t="s">
        <v>436</v>
      </c>
      <c r="J74" s="16" t="s">
        <v>750</v>
      </c>
      <c r="K74" s="16" t="s">
        <v>791</v>
      </c>
      <c r="L74" s="16" t="s">
        <v>743</v>
      </c>
      <c r="M74" s="26">
        <f>COUNTIF('Execution Tracker'!$C$9:$C$400,A74)</f>
        <v>1</v>
      </c>
      <c r="N74" s="26">
        <f>COUNTIFS('Execution Tracker'!$C$9:$C$400,A74,'Execution Tracker'!$G$9:$G$400,"Passed")</f>
        <v>0</v>
      </c>
      <c r="O74" s="26">
        <f>COUNTIFS('Execution Tracker'!$C$9:$C$400,A74,'Execution Tracker'!$G$9:$G$400,"Failed")</f>
        <v>1</v>
      </c>
      <c r="P74" s="26">
        <f>COUNTIFS('Execution Tracker'!$C$9:$C$400,A74,'Execution Tracker'!$G$9:$G$400,"Blocked")</f>
        <v>0</v>
      </c>
      <c r="Q74" s="16"/>
    </row>
    <row r="75" spans="1:17" ht="25.5" x14ac:dyDescent="0.25">
      <c r="A75" s="16" t="s">
        <v>840</v>
      </c>
      <c r="B75" s="25" t="s">
        <v>761</v>
      </c>
      <c r="C75" s="16" t="s">
        <v>321</v>
      </c>
      <c r="D75" s="16" t="s">
        <v>291</v>
      </c>
      <c r="E75" s="16" t="s">
        <v>320</v>
      </c>
      <c r="F75" s="16" t="s">
        <v>508</v>
      </c>
      <c r="G75" s="16" t="s">
        <v>522</v>
      </c>
      <c r="H75" s="16" t="s">
        <v>243</v>
      </c>
      <c r="I75" s="16" t="s">
        <v>436</v>
      </c>
      <c r="J75" s="16" t="s">
        <v>767</v>
      </c>
      <c r="K75" s="16" t="s">
        <v>746</v>
      </c>
      <c r="L75" s="16" t="s">
        <v>747</v>
      </c>
      <c r="M75" s="26">
        <f>COUNTIF('Execution Tracker'!$C$9:$C$400,A75)</f>
        <v>2</v>
      </c>
      <c r="N75" s="26">
        <f>COUNTIFS('Execution Tracker'!$C$9:$C$400,A75,'Execution Tracker'!$G$9:$G$400,"Passed")</f>
        <v>2</v>
      </c>
      <c r="O75" s="26">
        <f>COUNTIFS('Execution Tracker'!$C$9:$C$400,A75,'Execution Tracker'!$G$9:$G$400,"Failed")</f>
        <v>0</v>
      </c>
      <c r="P75" s="26">
        <f>COUNTIFS('Execution Tracker'!$C$9:$C$400,A75,'Execution Tracker'!$G$9:$G$400,"Blocked")</f>
        <v>0</v>
      </c>
      <c r="Q75" s="16"/>
    </row>
    <row r="76" spans="1:17" ht="25.5" x14ac:dyDescent="0.25">
      <c r="A76" s="16" t="s">
        <v>841</v>
      </c>
      <c r="B76" s="25" t="s">
        <v>763</v>
      </c>
      <c r="C76" s="16" t="s">
        <v>326</v>
      </c>
      <c r="D76" s="16" t="s">
        <v>297</v>
      </c>
      <c r="E76" s="16" t="s">
        <v>325</v>
      </c>
      <c r="F76" s="16" t="s">
        <v>508</v>
      </c>
      <c r="G76" s="16" t="s">
        <v>508</v>
      </c>
      <c r="H76" s="16" t="s">
        <v>487</v>
      </c>
      <c r="I76" s="16" t="s">
        <v>449</v>
      </c>
      <c r="J76" s="16" t="s">
        <v>800</v>
      </c>
      <c r="K76" s="16" t="s">
        <v>757</v>
      </c>
      <c r="L76" s="16" t="s">
        <v>747</v>
      </c>
      <c r="M76" s="26">
        <f>COUNTIF('Execution Tracker'!$C$9:$C$400,A76)</f>
        <v>1</v>
      </c>
      <c r="N76" s="26">
        <f>COUNTIFS('Execution Tracker'!$C$9:$C$400,A76,'Execution Tracker'!$G$9:$G$400,"Passed")</f>
        <v>1</v>
      </c>
      <c r="O76" s="26">
        <f>COUNTIFS('Execution Tracker'!$C$9:$C$400,A76,'Execution Tracker'!$G$9:$G$400,"Failed")</f>
        <v>0</v>
      </c>
      <c r="P76" s="26">
        <f>COUNTIFS('Execution Tracker'!$C$9:$C$400,A76,'Execution Tracker'!$G$9:$G$400,"Blocked")</f>
        <v>0</v>
      </c>
      <c r="Q76" s="16"/>
    </row>
    <row r="77" spans="1:17" ht="25.5" x14ac:dyDescent="0.25">
      <c r="A77" s="16" t="s">
        <v>842</v>
      </c>
      <c r="B77" s="25" t="s">
        <v>765</v>
      </c>
      <c r="C77" s="16" t="s">
        <v>331</v>
      </c>
      <c r="D77" s="16" t="s">
        <v>304</v>
      </c>
      <c r="E77" s="16" t="s">
        <v>330</v>
      </c>
      <c r="F77" s="16" t="s">
        <v>508</v>
      </c>
      <c r="G77" s="16" t="s">
        <v>504</v>
      </c>
      <c r="H77" s="16" t="s">
        <v>343</v>
      </c>
      <c r="I77" s="16" t="s">
        <v>449</v>
      </c>
      <c r="J77" s="16" t="s">
        <v>655</v>
      </c>
      <c r="K77" s="16" t="s">
        <v>751</v>
      </c>
      <c r="L77" s="16" t="s">
        <v>747</v>
      </c>
      <c r="M77" s="26">
        <f>COUNTIF('Execution Tracker'!$C$9:$C$400,A77)</f>
        <v>1</v>
      </c>
      <c r="N77" s="26">
        <f>COUNTIFS('Execution Tracker'!$C$9:$C$400,A77,'Execution Tracker'!$G$9:$G$400,"Passed")</f>
        <v>0</v>
      </c>
      <c r="O77" s="26">
        <f>COUNTIFS('Execution Tracker'!$C$9:$C$400,A77,'Execution Tracker'!$G$9:$G$400,"Failed")</f>
        <v>1</v>
      </c>
      <c r="P77" s="26">
        <f>COUNTIFS('Execution Tracker'!$C$9:$C$400,A77,'Execution Tracker'!$G$9:$G$400,"Blocked")</f>
        <v>0</v>
      </c>
      <c r="Q77" s="16"/>
    </row>
    <row r="78" spans="1:17" ht="25.5" x14ac:dyDescent="0.25">
      <c r="A78" s="16" t="s">
        <v>843</v>
      </c>
      <c r="B78" s="25" t="s">
        <v>770</v>
      </c>
      <c r="C78" s="16" t="s">
        <v>336</v>
      </c>
      <c r="D78" s="16" t="s">
        <v>310</v>
      </c>
      <c r="E78" s="16" t="s">
        <v>335</v>
      </c>
      <c r="F78" s="16" t="s">
        <v>508</v>
      </c>
      <c r="G78" s="16" t="s">
        <v>508</v>
      </c>
      <c r="H78" s="16" t="s">
        <v>460</v>
      </c>
      <c r="I78" s="16" t="s">
        <v>458</v>
      </c>
      <c r="J78" s="16" t="s">
        <v>754</v>
      </c>
      <c r="K78" s="16" t="s">
        <v>757</v>
      </c>
      <c r="L78" s="16" t="s">
        <v>747</v>
      </c>
      <c r="M78" s="26">
        <f>COUNTIF('Execution Tracker'!$C$9:$C$400,A78)</f>
        <v>4</v>
      </c>
      <c r="N78" s="26">
        <f>COUNTIFS('Execution Tracker'!$C$9:$C$400,A78,'Execution Tracker'!$G$9:$G$400,"Passed")</f>
        <v>4</v>
      </c>
      <c r="O78" s="26">
        <f>COUNTIFS('Execution Tracker'!$C$9:$C$400,A78,'Execution Tracker'!$G$9:$G$400,"Failed")</f>
        <v>0</v>
      </c>
      <c r="P78" s="26">
        <f>COUNTIFS('Execution Tracker'!$C$9:$C$400,A78,'Execution Tracker'!$G$9:$G$400,"Blocked")</f>
        <v>0</v>
      </c>
      <c r="Q78" s="16"/>
    </row>
    <row r="79" spans="1:17" ht="25.5" x14ac:dyDescent="0.25">
      <c r="A79" s="16" t="s">
        <v>844</v>
      </c>
      <c r="B79" s="25" t="s">
        <v>772</v>
      </c>
      <c r="C79" s="16" t="s">
        <v>341</v>
      </c>
      <c r="D79" s="16" t="s">
        <v>283</v>
      </c>
      <c r="E79" s="16" t="s">
        <v>340</v>
      </c>
      <c r="F79" s="16" t="s">
        <v>522</v>
      </c>
      <c r="G79" s="16" t="s">
        <v>522</v>
      </c>
      <c r="H79" s="16" t="s">
        <v>490</v>
      </c>
      <c r="I79" s="16" t="s">
        <v>436</v>
      </c>
      <c r="J79" s="16" t="s">
        <v>750</v>
      </c>
      <c r="K79" s="16" t="s">
        <v>742</v>
      </c>
      <c r="L79" s="16" t="s">
        <v>747</v>
      </c>
      <c r="M79" s="26">
        <f>COUNTIF('Execution Tracker'!$C$9:$C$400,A79)</f>
        <v>1</v>
      </c>
      <c r="N79" s="26">
        <f>COUNTIFS('Execution Tracker'!$C$9:$C$400,A79,'Execution Tracker'!$G$9:$G$400,"Passed")</f>
        <v>0</v>
      </c>
      <c r="O79" s="26">
        <f>COUNTIFS('Execution Tracker'!$C$9:$C$400,A79,'Execution Tracker'!$G$9:$G$400,"Failed")</f>
        <v>0</v>
      </c>
      <c r="P79" s="26">
        <f>COUNTIFS('Execution Tracker'!$C$9:$C$400,A79,'Execution Tracker'!$G$9:$G$400,"Blocked")</f>
        <v>1</v>
      </c>
      <c r="Q79" s="16"/>
    </row>
    <row r="80" spans="1:17" ht="25.5" x14ac:dyDescent="0.25">
      <c r="A80" s="16" t="s">
        <v>845</v>
      </c>
      <c r="B80" s="25" t="s">
        <v>774</v>
      </c>
      <c r="C80" s="16" t="s">
        <v>347</v>
      </c>
      <c r="D80" s="16" t="s">
        <v>291</v>
      </c>
      <c r="E80" s="16" t="s">
        <v>346</v>
      </c>
      <c r="F80" s="16" t="s">
        <v>504</v>
      </c>
      <c r="G80" s="16" t="s">
        <v>508</v>
      </c>
      <c r="H80" s="16" t="s">
        <v>481</v>
      </c>
      <c r="I80" s="16" t="s">
        <v>436</v>
      </c>
      <c r="J80" s="16" t="s">
        <v>800</v>
      </c>
      <c r="K80" s="16" t="s">
        <v>746</v>
      </c>
      <c r="L80" s="16" t="s">
        <v>743</v>
      </c>
      <c r="M80" s="26">
        <f>COUNTIF('Execution Tracker'!$C$9:$C$400,A80)</f>
        <v>1</v>
      </c>
      <c r="N80" s="26">
        <f>COUNTIFS('Execution Tracker'!$C$9:$C$400,A80,'Execution Tracker'!$G$9:$G$400,"Passed")</f>
        <v>1</v>
      </c>
      <c r="O80" s="26">
        <f>COUNTIFS('Execution Tracker'!$C$9:$C$400,A80,'Execution Tracker'!$G$9:$G$400,"Failed")</f>
        <v>0</v>
      </c>
      <c r="P80" s="26">
        <f>COUNTIFS('Execution Tracker'!$C$9:$C$400,A80,'Execution Tracker'!$G$9:$G$400,"Blocked")</f>
        <v>0</v>
      </c>
      <c r="Q80" s="16"/>
    </row>
    <row r="81" spans="1:17" ht="25.5" x14ac:dyDescent="0.25">
      <c r="A81" s="16" t="s">
        <v>846</v>
      </c>
      <c r="B81" s="25" t="s">
        <v>776</v>
      </c>
      <c r="C81" s="16" t="s">
        <v>352</v>
      </c>
      <c r="D81" s="16" t="s">
        <v>297</v>
      </c>
      <c r="E81" s="16" t="s">
        <v>351</v>
      </c>
      <c r="F81" s="16" t="s">
        <v>508</v>
      </c>
      <c r="G81" s="16" t="s">
        <v>522</v>
      </c>
      <c r="H81" s="16" t="s">
        <v>446</v>
      </c>
      <c r="I81" s="16" t="s">
        <v>449</v>
      </c>
      <c r="J81" s="16" t="s">
        <v>800</v>
      </c>
      <c r="K81" s="16" t="s">
        <v>757</v>
      </c>
      <c r="L81" s="16" t="s">
        <v>796</v>
      </c>
      <c r="M81" s="26">
        <f>COUNTIF('Execution Tracker'!$C$9:$C$400,A81)</f>
        <v>2</v>
      </c>
      <c r="N81" s="26">
        <f>COUNTIFS('Execution Tracker'!$C$9:$C$400,A81,'Execution Tracker'!$G$9:$G$400,"Passed")</f>
        <v>2</v>
      </c>
      <c r="O81" s="26">
        <f>COUNTIFS('Execution Tracker'!$C$9:$C$400,A81,'Execution Tracker'!$G$9:$G$400,"Failed")</f>
        <v>0</v>
      </c>
      <c r="P81" s="26">
        <f>COUNTIFS('Execution Tracker'!$C$9:$C$400,A81,'Execution Tracker'!$G$9:$G$400,"Blocked")</f>
        <v>0</v>
      </c>
      <c r="Q81" s="16"/>
    </row>
    <row r="82" spans="1:17" ht="25.5" x14ac:dyDescent="0.25">
      <c r="A82" s="16" t="s">
        <v>847</v>
      </c>
      <c r="B82" s="25" t="s">
        <v>778</v>
      </c>
      <c r="C82" s="16" t="s">
        <v>357</v>
      </c>
      <c r="D82" s="16" t="s">
        <v>304</v>
      </c>
      <c r="E82" s="16" t="s">
        <v>356</v>
      </c>
      <c r="F82" s="16" t="s">
        <v>504</v>
      </c>
      <c r="G82" s="16" t="s">
        <v>508</v>
      </c>
      <c r="H82" s="16" t="s">
        <v>269</v>
      </c>
      <c r="I82" s="16" t="s">
        <v>449</v>
      </c>
      <c r="J82" s="16" t="s">
        <v>750</v>
      </c>
      <c r="K82" s="16" t="s">
        <v>757</v>
      </c>
      <c r="L82" s="16" t="s">
        <v>747</v>
      </c>
      <c r="M82" s="26">
        <f>COUNTIF('Execution Tracker'!$C$9:$C$400,A82)</f>
        <v>3</v>
      </c>
      <c r="N82" s="26">
        <f>COUNTIFS('Execution Tracker'!$C$9:$C$400,A82,'Execution Tracker'!$G$9:$G$400,"Passed")</f>
        <v>0</v>
      </c>
      <c r="O82" s="26">
        <f>COUNTIFS('Execution Tracker'!$C$9:$C$400,A82,'Execution Tracker'!$G$9:$G$400,"Failed")</f>
        <v>2</v>
      </c>
      <c r="P82" s="26">
        <f>COUNTIFS('Execution Tracker'!$C$9:$C$400,A82,'Execution Tracker'!$G$9:$G$400,"Blocked")</f>
        <v>0</v>
      </c>
      <c r="Q82" s="16"/>
    </row>
    <row r="83" spans="1:17" ht="25.5" x14ac:dyDescent="0.25">
      <c r="A83" s="16" t="s">
        <v>848</v>
      </c>
      <c r="B83" s="25" t="s">
        <v>780</v>
      </c>
      <c r="C83" s="16" t="s">
        <v>362</v>
      </c>
      <c r="D83" s="16" t="s">
        <v>310</v>
      </c>
      <c r="E83" s="16" t="s">
        <v>361</v>
      </c>
      <c r="F83" s="16" t="s">
        <v>522</v>
      </c>
      <c r="G83" s="16" t="s">
        <v>522</v>
      </c>
      <c r="H83" s="16" t="s">
        <v>487</v>
      </c>
      <c r="I83" s="16" t="s">
        <v>458</v>
      </c>
      <c r="J83" s="16" t="s">
        <v>750</v>
      </c>
      <c r="K83" s="16" t="s">
        <v>791</v>
      </c>
      <c r="L83" s="16" t="s">
        <v>747</v>
      </c>
      <c r="M83" s="26">
        <f>COUNTIF('Execution Tracker'!$C$9:$C$400,A83)</f>
        <v>1</v>
      </c>
      <c r="N83" s="26">
        <f>COUNTIFS('Execution Tracker'!$C$9:$C$400,A83,'Execution Tracker'!$G$9:$G$400,"Passed")</f>
        <v>1</v>
      </c>
      <c r="O83" s="26">
        <f>COUNTIFS('Execution Tracker'!$C$9:$C$400,A83,'Execution Tracker'!$G$9:$G$400,"Failed")</f>
        <v>0</v>
      </c>
      <c r="P83" s="26">
        <f>COUNTIFS('Execution Tracker'!$C$9:$C$400,A83,'Execution Tracker'!$G$9:$G$400,"Blocked")</f>
        <v>0</v>
      </c>
      <c r="Q83" s="16"/>
    </row>
    <row r="84" spans="1:17" ht="25.5" x14ac:dyDescent="0.25">
      <c r="A84" s="16" t="s">
        <v>849</v>
      </c>
      <c r="B84" s="25" t="s">
        <v>782</v>
      </c>
      <c r="C84" s="16" t="s">
        <v>367</v>
      </c>
      <c r="D84" s="16" t="s">
        <v>283</v>
      </c>
      <c r="E84" s="16" t="s">
        <v>366</v>
      </c>
      <c r="F84" s="16" t="s">
        <v>504</v>
      </c>
      <c r="G84" s="16" t="s">
        <v>504</v>
      </c>
      <c r="H84" s="16" t="s">
        <v>484</v>
      </c>
      <c r="I84" s="16" t="s">
        <v>436</v>
      </c>
      <c r="J84" s="16" t="s">
        <v>750</v>
      </c>
      <c r="K84" s="16" t="s">
        <v>746</v>
      </c>
      <c r="L84" s="16" t="s">
        <v>747</v>
      </c>
      <c r="M84" s="26">
        <f>COUNTIF('Execution Tracker'!$C$9:$C$400,A84)</f>
        <v>2</v>
      </c>
      <c r="N84" s="26">
        <f>COUNTIFS('Execution Tracker'!$C$9:$C$400,A84,'Execution Tracker'!$G$9:$G$400,"Passed")</f>
        <v>1</v>
      </c>
      <c r="O84" s="26">
        <f>COUNTIFS('Execution Tracker'!$C$9:$C$400,A84,'Execution Tracker'!$G$9:$G$400,"Failed")</f>
        <v>1</v>
      </c>
      <c r="P84" s="26">
        <f>COUNTIFS('Execution Tracker'!$C$9:$C$400,A84,'Execution Tracker'!$G$9:$G$400,"Blocked")</f>
        <v>0</v>
      </c>
      <c r="Q84" s="16"/>
    </row>
    <row r="85" spans="1:17" ht="25.5" x14ac:dyDescent="0.25">
      <c r="A85" s="16" t="s">
        <v>850</v>
      </c>
      <c r="B85" s="25" t="s">
        <v>784</v>
      </c>
      <c r="C85" s="16" t="s">
        <v>372</v>
      </c>
      <c r="D85" s="16" t="s">
        <v>291</v>
      </c>
      <c r="E85" s="16" t="s">
        <v>371</v>
      </c>
      <c r="F85" s="16" t="s">
        <v>508</v>
      </c>
      <c r="G85" s="16" t="s">
        <v>508</v>
      </c>
      <c r="H85" s="16" t="s">
        <v>252</v>
      </c>
      <c r="I85" s="16" t="s">
        <v>436</v>
      </c>
      <c r="J85" s="16" t="s">
        <v>767</v>
      </c>
      <c r="K85" s="16" t="s">
        <v>751</v>
      </c>
      <c r="L85" s="16" t="s">
        <v>747</v>
      </c>
      <c r="M85" s="26">
        <f>COUNTIF('Execution Tracker'!$C$9:$C$400,A85)</f>
        <v>2</v>
      </c>
      <c r="N85" s="26">
        <f>COUNTIFS('Execution Tracker'!$C$9:$C$400,A85,'Execution Tracker'!$G$9:$G$400,"Passed")</f>
        <v>1</v>
      </c>
      <c r="O85" s="26">
        <f>COUNTIFS('Execution Tracker'!$C$9:$C$400,A85,'Execution Tracker'!$G$9:$G$400,"Failed")</f>
        <v>0</v>
      </c>
      <c r="P85" s="26">
        <f>COUNTIFS('Execution Tracker'!$C$9:$C$400,A85,'Execution Tracker'!$G$9:$G$400,"Blocked")</f>
        <v>0</v>
      </c>
      <c r="Q85" s="16"/>
    </row>
    <row r="86" spans="1:17" ht="25.5" x14ac:dyDescent="0.25">
      <c r="A86" s="16" t="s">
        <v>851</v>
      </c>
      <c r="B86" s="25" t="s">
        <v>786</v>
      </c>
      <c r="C86" s="16" t="s">
        <v>377</v>
      </c>
      <c r="D86" s="16" t="s">
        <v>297</v>
      </c>
      <c r="E86" s="16" t="s">
        <v>376</v>
      </c>
      <c r="F86" s="16" t="s">
        <v>508</v>
      </c>
      <c r="G86" s="16" t="s">
        <v>508</v>
      </c>
      <c r="H86" s="16" t="s">
        <v>252</v>
      </c>
      <c r="I86" s="16" t="s">
        <v>449</v>
      </c>
      <c r="J86" s="16" t="s">
        <v>800</v>
      </c>
      <c r="K86" s="16" t="s">
        <v>742</v>
      </c>
      <c r="L86" s="16" t="s">
        <v>747</v>
      </c>
      <c r="M86" s="26">
        <f>COUNTIF('Execution Tracker'!$C$9:$C$400,A86)</f>
        <v>2</v>
      </c>
      <c r="N86" s="26">
        <f>COUNTIFS('Execution Tracker'!$C$9:$C$400,A86,'Execution Tracker'!$G$9:$G$400,"Passed")</f>
        <v>0</v>
      </c>
      <c r="O86" s="26">
        <f>COUNTIFS('Execution Tracker'!$C$9:$C$400,A86,'Execution Tracker'!$G$9:$G$400,"Failed")</f>
        <v>1</v>
      </c>
      <c r="P86" s="26">
        <f>COUNTIFS('Execution Tracker'!$C$9:$C$400,A86,'Execution Tracker'!$G$9:$G$400,"Blocked")</f>
        <v>0</v>
      </c>
      <c r="Q86" s="16"/>
    </row>
    <row r="87" spans="1:17" ht="25.5" x14ac:dyDescent="0.25">
      <c r="A87" s="16" t="s">
        <v>852</v>
      </c>
      <c r="B87" s="25" t="s">
        <v>788</v>
      </c>
      <c r="C87" s="16" t="s">
        <v>382</v>
      </c>
      <c r="D87" s="16" t="s">
        <v>304</v>
      </c>
      <c r="E87" s="16" t="s">
        <v>381</v>
      </c>
      <c r="F87" s="16" t="s">
        <v>522</v>
      </c>
      <c r="G87" s="16" t="s">
        <v>508</v>
      </c>
      <c r="H87" s="16" t="s">
        <v>79</v>
      </c>
      <c r="I87" s="16" t="s">
        <v>449</v>
      </c>
      <c r="J87" s="16" t="s">
        <v>767</v>
      </c>
      <c r="K87" s="16" t="s">
        <v>757</v>
      </c>
      <c r="L87" s="16" t="s">
        <v>743</v>
      </c>
      <c r="M87" s="26">
        <f>COUNTIF('Execution Tracker'!$C$9:$C$400,A87)</f>
        <v>2</v>
      </c>
      <c r="N87" s="26">
        <f>COUNTIFS('Execution Tracker'!$C$9:$C$400,A87,'Execution Tracker'!$G$9:$G$400,"Passed")</f>
        <v>0</v>
      </c>
      <c r="O87" s="26">
        <f>COUNTIFS('Execution Tracker'!$C$9:$C$400,A87,'Execution Tracker'!$G$9:$G$400,"Failed")</f>
        <v>2</v>
      </c>
      <c r="P87" s="26">
        <f>COUNTIFS('Execution Tracker'!$C$9:$C$400,A87,'Execution Tracker'!$G$9:$G$400,"Blocked")</f>
        <v>0</v>
      </c>
      <c r="Q87" s="16"/>
    </row>
    <row r="88" spans="1:17" ht="25.5" x14ac:dyDescent="0.25">
      <c r="A88" s="16" t="s">
        <v>853</v>
      </c>
      <c r="B88" s="25" t="s">
        <v>790</v>
      </c>
      <c r="C88" s="16" t="s">
        <v>387</v>
      </c>
      <c r="D88" s="16" t="s">
        <v>310</v>
      </c>
      <c r="E88" s="16" t="s">
        <v>386</v>
      </c>
      <c r="F88" s="16" t="s">
        <v>508</v>
      </c>
      <c r="G88" s="16" t="s">
        <v>508</v>
      </c>
      <c r="H88" s="16" t="s">
        <v>79</v>
      </c>
      <c r="I88" s="16" t="s">
        <v>458</v>
      </c>
      <c r="J88" s="16" t="s">
        <v>800</v>
      </c>
      <c r="K88" s="16" t="s">
        <v>746</v>
      </c>
      <c r="L88" s="16" t="s">
        <v>743</v>
      </c>
      <c r="M88" s="26">
        <f>COUNTIF('Execution Tracker'!$C$9:$C$400,A88)</f>
        <v>0</v>
      </c>
      <c r="N88" s="26">
        <f>COUNTIFS('Execution Tracker'!$C$9:$C$400,A88,'Execution Tracker'!$G$9:$G$400,"Passed")</f>
        <v>0</v>
      </c>
      <c r="O88" s="26">
        <f>COUNTIFS('Execution Tracker'!$C$9:$C$400,A88,'Execution Tracker'!$G$9:$G$400,"Failed")</f>
        <v>0</v>
      </c>
      <c r="P88" s="26">
        <f>COUNTIFS('Execution Tracker'!$C$9:$C$400,A88,'Execution Tracker'!$G$9:$G$400,"Blocked")</f>
        <v>0</v>
      </c>
      <c r="Q88" s="16"/>
    </row>
  </sheetData>
  <autoFilter ref="A8:Q88" xr:uid="{00000000-0009-0000-0000-00000D000000}"/>
  <mergeCells count="3">
    <mergeCell ref="A1:Q1"/>
    <mergeCell ref="A2:Q2"/>
    <mergeCell ref="A4:Q6"/>
  </mergeCells>
  <conditionalFormatting sqref="L9:L88">
    <cfRule type="expression" dxfId="57" priority="2">
      <formula>$L9="Ready"</formula>
    </cfRule>
    <cfRule type="expression" dxfId="56" priority="3">
      <formula>$L9="Approved"</formula>
    </cfRule>
    <cfRule type="expression" dxfId="55" priority="4">
      <formula>$L9="In Review"</formula>
    </cfRule>
  </conditionalFormatting>
  <dataValidations count="6">
    <dataValidation type="list" allowBlank="1" sqref="H9:H88" xr:uid="{00000000-0002-0000-0D00-000000000000}">
      <formula1>Owners</formula1>
      <formula2>0</formula2>
    </dataValidation>
    <dataValidation type="list" allowBlank="1" sqref="D9:D88" xr:uid="{00000000-0002-0000-0D00-000001000000}">
      <formula1>BusinessAreas</formula1>
      <formula2>0</formula2>
    </dataValidation>
    <dataValidation type="list" allowBlank="1" sqref="F9:F88" xr:uid="{00000000-0002-0000-0D00-000002000000}">
      <formula1>ScenarioPriority</formula1>
      <formula2>0</formula2>
    </dataValidation>
    <dataValidation type="list" allowBlank="1" sqref="G9:G88" xr:uid="{00000000-0002-0000-0D00-000003000000}">
      <formula1>RiskRating</formula1>
      <formula2>0</formula2>
    </dataValidation>
    <dataValidation type="list" allowBlank="1" sqref="I9:I88" xr:uid="{00000000-0002-0000-0D00-000004000000}">
      <formula1>Waves</formula1>
      <formula2>0</formula2>
    </dataValidation>
    <dataValidation type="list" allowBlank="1" sqref="L9:L88" xr:uid="{00000000-0002-0000-0D00-000005000000}">
      <formula1>DesignStatus</formula1>
      <formula2>0</formula2>
    </dataValidation>
  </dataValidations>
  <hyperlinks>
    <hyperlink ref="A3" r:id="rId1" location="'Start%20Here'!A1" xr:uid="{00000000-0004-0000-0D00-000000000000}"/>
    <hyperlink ref="B3" r:id="rId2" location="'UAT%20Overview'!A1" xr:uid="{00000000-0004-0000-0D00-000001000000}"/>
    <hyperlink ref="C3" r:id="rId3" location="'Executive%20Dashboard'!A1" xr:uid="{00000000-0004-0000-0D00-000002000000}"/>
    <hyperlink ref="D3" r:id="rId4" location="'Operational%20Dashboard'!A1" xr:uid="{00000000-0004-0000-0D00-000003000000}"/>
    <hyperlink ref="E3" r:id="rId5" location="'Readiness%20Checklist'!A1" xr:uid="{00000000-0004-0000-0D00-000004000000}"/>
  </hyperlinks>
  <pageMargins left="0.75" right="0.75" top="1" bottom="1"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58"/>
  <sheetViews>
    <sheetView zoomScaleNormal="100" workbookViewId="0">
      <pane ySplit="8" topLeftCell="A9" activePane="bottomLeft" state="frozen"/>
      <selection pane="bottomLeft" sqref="A1:N1"/>
    </sheetView>
  </sheetViews>
  <sheetFormatPr defaultColWidth="8.7109375" defaultRowHeight="15" customHeight="1" x14ac:dyDescent="0.25"/>
  <cols>
    <col min="1" max="1" width="12" customWidth="1"/>
    <col min="2" max="2" width="14" customWidth="1"/>
    <col min="3" max="3" width="12" customWidth="1"/>
    <col min="4" max="4" width="18" customWidth="1"/>
    <col min="5" max="5" width="20" customWidth="1"/>
    <col min="6" max="8" width="12" customWidth="1"/>
    <col min="9" max="11" width="14" customWidth="1"/>
    <col min="12" max="12" width="28" customWidth="1"/>
    <col min="13" max="13" width="18" customWidth="1"/>
    <col min="14" max="14" width="20" customWidth="1"/>
  </cols>
  <sheetData>
    <row r="1" spans="1:14" ht="25.5" customHeight="1" x14ac:dyDescent="0.25">
      <c r="A1" s="12" t="str">
        <f>'Branding &amp; Setup'!$B$9 &amp; " | Execution Tracker"</f>
        <v>Northbridge Citizens Services | Execution Tracker</v>
      </c>
      <c r="B1" s="12"/>
      <c r="C1" s="12"/>
      <c r="D1" s="12"/>
      <c r="E1" s="12"/>
      <c r="F1" s="12"/>
      <c r="G1" s="12"/>
      <c r="H1" s="12"/>
      <c r="I1" s="12"/>
      <c r="J1" s="12"/>
      <c r="K1" s="12"/>
      <c r="L1" s="12"/>
      <c r="M1" s="12"/>
      <c r="N1" s="12"/>
    </row>
    <row r="2" spans="1:14"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row>
    <row r="3" spans="1:14" ht="18" customHeight="1" x14ac:dyDescent="0.25">
      <c r="A3" s="13" t="s">
        <v>0</v>
      </c>
      <c r="B3" s="13" t="s">
        <v>1</v>
      </c>
      <c r="C3" s="13" t="s">
        <v>2</v>
      </c>
      <c r="D3" s="13" t="s">
        <v>3</v>
      </c>
      <c r="E3" s="13" t="s">
        <v>4</v>
      </c>
    </row>
    <row r="4" spans="1:14" ht="18" customHeight="1" x14ac:dyDescent="0.25">
      <c r="A4" s="10" t="s">
        <v>854</v>
      </c>
      <c r="B4" s="10"/>
      <c r="C4" s="10"/>
      <c r="D4" s="10"/>
      <c r="E4" s="10"/>
      <c r="F4" s="10"/>
      <c r="G4" s="10"/>
      <c r="H4" s="10"/>
      <c r="I4" s="10"/>
      <c r="J4" s="10"/>
      <c r="K4" s="10"/>
      <c r="L4" s="10"/>
      <c r="M4" s="10"/>
      <c r="N4" s="10"/>
    </row>
    <row r="5" spans="1:14" ht="18" customHeight="1" x14ac:dyDescent="0.25">
      <c r="A5" s="10"/>
      <c r="B5" s="10"/>
      <c r="C5" s="10"/>
      <c r="D5" s="10"/>
      <c r="E5" s="10"/>
      <c r="F5" s="10"/>
      <c r="G5" s="10"/>
      <c r="H5" s="10"/>
      <c r="I5" s="10"/>
      <c r="J5" s="10"/>
      <c r="K5" s="10"/>
      <c r="L5" s="10"/>
      <c r="M5" s="10"/>
      <c r="N5" s="10"/>
    </row>
    <row r="6" spans="1:14" ht="18" customHeight="1" x14ac:dyDescent="0.25">
      <c r="A6" s="10"/>
      <c r="B6" s="10"/>
      <c r="C6" s="10"/>
      <c r="D6" s="10"/>
      <c r="E6" s="10"/>
      <c r="F6" s="10"/>
      <c r="G6" s="10"/>
      <c r="H6" s="10"/>
      <c r="I6" s="10"/>
      <c r="J6" s="10"/>
      <c r="K6" s="10"/>
      <c r="L6" s="10"/>
      <c r="M6" s="10"/>
      <c r="N6" s="10"/>
    </row>
    <row r="8" spans="1:14" x14ac:dyDescent="0.25">
      <c r="A8" s="21" t="s">
        <v>855</v>
      </c>
      <c r="B8" s="21" t="s">
        <v>856</v>
      </c>
      <c r="C8" s="21" t="s">
        <v>727</v>
      </c>
      <c r="D8" s="21" t="s">
        <v>857</v>
      </c>
      <c r="E8" s="21" t="s">
        <v>732</v>
      </c>
      <c r="F8" s="21" t="s">
        <v>858</v>
      </c>
      <c r="G8" s="21" t="s">
        <v>151</v>
      </c>
      <c r="H8" s="21" t="s">
        <v>859</v>
      </c>
      <c r="I8" s="21" t="s">
        <v>860</v>
      </c>
      <c r="J8" s="21" t="s">
        <v>861</v>
      </c>
      <c r="K8" s="21" t="s">
        <v>862</v>
      </c>
      <c r="L8" s="21" t="s">
        <v>154</v>
      </c>
      <c r="M8" s="21" t="s">
        <v>275</v>
      </c>
      <c r="N8" s="21" t="s">
        <v>274</v>
      </c>
    </row>
    <row r="9" spans="1:14" x14ac:dyDescent="0.25">
      <c r="A9" s="16" t="s">
        <v>863</v>
      </c>
      <c r="B9" s="17">
        <v>46082</v>
      </c>
      <c r="C9" s="16" t="s">
        <v>795</v>
      </c>
      <c r="D9" s="16" t="s">
        <v>460</v>
      </c>
      <c r="E9" s="16" t="s">
        <v>449</v>
      </c>
      <c r="F9" s="16" t="s">
        <v>864</v>
      </c>
      <c r="G9" s="16" t="s">
        <v>195</v>
      </c>
      <c r="H9" s="16"/>
      <c r="I9" s="16"/>
      <c r="J9" s="16" t="s">
        <v>437</v>
      </c>
      <c r="K9" s="16" t="s">
        <v>865</v>
      </c>
      <c r="L9" s="16"/>
      <c r="M9" s="20" t="str">
        <f>IFERROR(VLOOKUP(C9,'Scenario Register'!$A$9:$D$200,4,FALSE()),"")</f>
        <v>Finance &amp; Billing</v>
      </c>
      <c r="N9" s="20" t="str">
        <f>IFERROR(VLOOKUP(C9,'Scenario Register'!$A$9:$C$200,3,FALSE()),"")</f>
        <v>Debt Review</v>
      </c>
    </row>
    <row r="10" spans="1:14" ht="25.5" x14ac:dyDescent="0.25">
      <c r="A10" s="16" t="s">
        <v>866</v>
      </c>
      <c r="B10" s="17">
        <v>46081</v>
      </c>
      <c r="C10" s="16" t="s">
        <v>831</v>
      </c>
      <c r="D10" s="16" t="s">
        <v>79</v>
      </c>
      <c r="E10" s="16" t="s">
        <v>449</v>
      </c>
      <c r="F10" s="16" t="s">
        <v>864</v>
      </c>
      <c r="G10" s="16" t="s">
        <v>195</v>
      </c>
      <c r="H10" s="16"/>
      <c r="I10" s="16"/>
      <c r="J10" s="16" t="s">
        <v>437</v>
      </c>
      <c r="K10" s="16" t="s">
        <v>865</v>
      </c>
      <c r="L10" s="25" t="s">
        <v>867</v>
      </c>
      <c r="M10" s="20" t="str">
        <f>IFERROR(VLOOKUP(C10,'Scenario Register'!$A$9:$D$200,4,FALSE()),"")</f>
        <v>Field Operations</v>
      </c>
      <c r="N10" s="20" t="str">
        <f>IFERROR(VLOOKUP(C10,'Scenario Register'!$A$9:$C$200,3,FALSE()),"")</f>
        <v>Mobile Updates</v>
      </c>
    </row>
    <row r="11" spans="1:14" ht="25.5" x14ac:dyDescent="0.25">
      <c r="A11" s="16" t="s">
        <v>868</v>
      </c>
      <c r="B11" s="17">
        <v>46083</v>
      </c>
      <c r="C11" s="16" t="s">
        <v>844</v>
      </c>
      <c r="D11" s="16" t="s">
        <v>490</v>
      </c>
      <c r="E11" s="16" t="s">
        <v>436</v>
      </c>
      <c r="F11" s="16" t="s">
        <v>864</v>
      </c>
      <c r="G11" s="16" t="s">
        <v>197</v>
      </c>
      <c r="H11" s="16"/>
      <c r="I11" s="16" t="s">
        <v>869</v>
      </c>
      <c r="J11" s="16" t="s">
        <v>438</v>
      </c>
      <c r="K11" s="16" t="s">
        <v>232</v>
      </c>
      <c r="L11" s="25" t="s">
        <v>867</v>
      </c>
      <c r="M11" s="20" t="str">
        <f>IFERROR(VLOOKUP(C11,'Scenario Register'!$A$9:$D$200,4,FALSE()),"")</f>
        <v>Contact Centre</v>
      </c>
      <c r="N11" s="20" t="str">
        <f>IFERROR(VLOOKUP(C11,'Scenario Register'!$A$9:$C$200,3,FALSE()),"")</f>
        <v>Call Handling</v>
      </c>
    </row>
    <row r="12" spans="1:14" x14ac:dyDescent="0.25">
      <c r="A12" s="16" t="s">
        <v>870</v>
      </c>
      <c r="B12" s="17">
        <v>46088</v>
      </c>
      <c r="C12" s="16" t="s">
        <v>824</v>
      </c>
      <c r="D12" s="16" t="s">
        <v>484</v>
      </c>
      <c r="E12" s="16" t="s">
        <v>436</v>
      </c>
      <c r="F12" s="16" t="s">
        <v>871</v>
      </c>
      <c r="G12" s="16" t="s">
        <v>195</v>
      </c>
      <c r="H12" s="16"/>
      <c r="I12" s="16"/>
      <c r="J12" s="16" t="s">
        <v>437</v>
      </c>
      <c r="K12" s="16" t="s">
        <v>865</v>
      </c>
      <c r="L12" s="16" t="s">
        <v>872</v>
      </c>
      <c r="M12" s="20" t="str">
        <f>IFERROR(VLOOKUP(C12,'Scenario Register'!$A$9:$D$200,4,FALSE()),"")</f>
        <v>Contact Centre</v>
      </c>
      <c r="N12" s="20" t="str">
        <f>IFERROR(VLOOKUP(C12,'Scenario Register'!$A$9:$C$200,3,FALSE()),"")</f>
        <v>Case Intake</v>
      </c>
    </row>
    <row r="13" spans="1:14" x14ac:dyDescent="0.25">
      <c r="A13" s="16" t="s">
        <v>873</v>
      </c>
      <c r="B13" s="17">
        <v>46085</v>
      </c>
      <c r="C13" s="16" t="s">
        <v>792</v>
      </c>
      <c r="D13" s="16" t="s">
        <v>343</v>
      </c>
      <c r="E13" s="16" t="s">
        <v>436</v>
      </c>
      <c r="F13" s="16" t="s">
        <v>871</v>
      </c>
      <c r="G13" s="16" t="s">
        <v>196</v>
      </c>
      <c r="H13" s="16" t="s">
        <v>874</v>
      </c>
      <c r="I13" s="16"/>
      <c r="J13" s="16" t="s">
        <v>438</v>
      </c>
      <c r="K13" s="16" t="s">
        <v>875</v>
      </c>
      <c r="L13" s="16" t="s">
        <v>872</v>
      </c>
      <c r="M13" s="20" t="str">
        <f>IFERROR(VLOOKUP(C13,'Scenario Register'!$A$9:$D$200,4,FALSE()),"")</f>
        <v>Contact Centre</v>
      </c>
      <c r="N13" s="20" t="str">
        <f>IFERROR(VLOOKUP(C13,'Scenario Register'!$A$9:$C$200,3,FALSE()),"")</f>
        <v>Case Intake</v>
      </c>
    </row>
    <row r="14" spans="1:14" ht="25.5" x14ac:dyDescent="0.25">
      <c r="A14" s="16" t="s">
        <v>876</v>
      </c>
      <c r="B14" s="17">
        <v>46080</v>
      </c>
      <c r="C14" s="16" t="s">
        <v>783</v>
      </c>
      <c r="D14" s="16" t="s">
        <v>456</v>
      </c>
      <c r="E14" s="16" t="s">
        <v>436</v>
      </c>
      <c r="F14" s="16" t="s">
        <v>864</v>
      </c>
      <c r="G14" s="16" t="s">
        <v>195</v>
      </c>
      <c r="H14" s="16"/>
      <c r="I14" s="16"/>
      <c r="J14" s="16" t="s">
        <v>437</v>
      </c>
      <c r="K14" s="16" t="s">
        <v>865</v>
      </c>
      <c r="L14" s="25" t="s">
        <v>867</v>
      </c>
      <c r="M14" s="20" t="str">
        <f>IFERROR(VLOOKUP(C14,'Scenario Register'!$A$9:$D$200,4,FALSE()),"")</f>
        <v>Case Management</v>
      </c>
      <c r="N14" s="20" t="str">
        <f>IFERROR(VLOOKUP(C14,'Scenario Register'!$A$9:$C$200,3,FALSE()),"")</f>
        <v>Case Creation</v>
      </c>
    </row>
    <row r="15" spans="1:14" x14ac:dyDescent="0.25">
      <c r="A15" s="16" t="s">
        <v>877</v>
      </c>
      <c r="B15" s="17">
        <v>46089</v>
      </c>
      <c r="C15" s="16" t="s">
        <v>762</v>
      </c>
      <c r="D15" s="16" t="s">
        <v>460</v>
      </c>
      <c r="E15" s="16" t="s">
        <v>449</v>
      </c>
      <c r="F15" s="16" t="s">
        <v>871</v>
      </c>
      <c r="G15" s="16" t="s">
        <v>195</v>
      </c>
      <c r="H15" s="16"/>
      <c r="I15" s="16"/>
      <c r="J15" s="16" t="s">
        <v>437</v>
      </c>
      <c r="K15" s="16" t="s">
        <v>865</v>
      </c>
      <c r="L15" s="16"/>
      <c r="M15" s="20" t="str">
        <f>IFERROR(VLOOKUP(C15,'Scenario Register'!$A$9:$D$200,4,FALSE()),"")</f>
        <v>Field Operations</v>
      </c>
      <c r="N15" s="20" t="str">
        <f>IFERROR(VLOOKUP(C15,'Scenario Register'!$A$9:$C$200,3,FALSE()),"")</f>
        <v>Mobile Updates</v>
      </c>
    </row>
    <row r="16" spans="1:14" x14ac:dyDescent="0.25">
      <c r="A16" s="16" t="s">
        <v>878</v>
      </c>
      <c r="B16" s="17">
        <v>46087</v>
      </c>
      <c r="C16" s="16" t="s">
        <v>775</v>
      </c>
      <c r="D16" s="16" t="s">
        <v>484</v>
      </c>
      <c r="E16" s="16" t="s">
        <v>449</v>
      </c>
      <c r="F16" s="16" t="s">
        <v>871</v>
      </c>
      <c r="G16" s="16" t="s">
        <v>198</v>
      </c>
      <c r="H16" s="16"/>
      <c r="I16" s="16"/>
      <c r="J16" s="16" t="s">
        <v>437</v>
      </c>
      <c r="K16" s="16" t="s">
        <v>865</v>
      </c>
      <c r="L16" s="16"/>
      <c r="M16" s="20" t="str">
        <f>IFERROR(VLOOKUP(C16,'Scenario Register'!$A$9:$D$200,4,FALSE()),"")</f>
        <v>Field Operations</v>
      </c>
      <c r="N16" s="20" t="str">
        <f>IFERROR(VLOOKUP(C16,'Scenario Register'!$A$9:$C$200,3,FALSE()),"")</f>
        <v>Appointment Booking</v>
      </c>
    </row>
    <row r="17" spans="1:14" x14ac:dyDescent="0.25">
      <c r="A17" s="16" t="s">
        <v>879</v>
      </c>
      <c r="B17" s="17">
        <v>46080</v>
      </c>
      <c r="C17" s="16" t="s">
        <v>810</v>
      </c>
      <c r="D17" s="16" t="s">
        <v>343</v>
      </c>
      <c r="E17" s="16" t="s">
        <v>436</v>
      </c>
      <c r="F17" s="16" t="s">
        <v>864</v>
      </c>
      <c r="G17" s="16" t="s">
        <v>196</v>
      </c>
      <c r="H17" s="16" t="s">
        <v>880</v>
      </c>
      <c r="I17" s="16"/>
      <c r="J17" s="16" t="s">
        <v>438</v>
      </c>
      <c r="K17" s="16" t="s">
        <v>875</v>
      </c>
      <c r="L17" s="16" t="s">
        <v>881</v>
      </c>
      <c r="M17" s="20" t="str">
        <f>IFERROR(VLOOKUP(C17,'Scenario Register'!$A$9:$D$200,4,FALSE()),"")</f>
        <v>Case Management</v>
      </c>
      <c r="N17" s="20" t="str">
        <f>IFERROR(VLOOKUP(C17,'Scenario Register'!$A$9:$C$200,3,FALSE()),"")</f>
        <v>Complaint Handling</v>
      </c>
    </row>
    <row r="18" spans="1:14" x14ac:dyDescent="0.25">
      <c r="A18" s="16" t="s">
        <v>882</v>
      </c>
      <c r="B18" s="17">
        <v>46088</v>
      </c>
      <c r="C18" s="16" t="s">
        <v>814</v>
      </c>
      <c r="D18" s="16" t="s">
        <v>243</v>
      </c>
      <c r="E18" s="16" t="s">
        <v>436</v>
      </c>
      <c r="F18" s="16" t="s">
        <v>871</v>
      </c>
      <c r="G18" s="16" t="s">
        <v>197</v>
      </c>
      <c r="H18" s="16"/>
      <c r="I18" s="16" t="s">
        <v>883</v>
      </c>
      <c r="J18" s="16" t="s">
        <v>438</v>
      </c>
      <c r="K18" s="16" t="s">
        <v>875</v>
      </c>
      <c r="L18" s="16" t="s">
        <v>881</v>
      </c>
      <c r="M18" s="20" t="str">
        <f>IFERROR(VLOOKUP(C18,'Scenario Register'!$A$9:$D$200,4,FALSE()),"")</f>
        <v>Contact Centre</v>
      </c>
      <c r="N18" s="20" t="str">
        <f>IFERROR(VLOOKUP(C18,'Scenario Register'!$A$9:$C$200,3,FALSE()),"")</f>
        <v>Call Handling</v>
      </c>
    </row>
    <row r="19" spans="1:14" ht="25.5" x14ac:dyDescent="0.25">
      <c r="A19" s="16" t="s">
        <v>884</v>
      </c>
      <c r="B19" s="17">
        <v>46077</v>
      </c>
      <c r="C19" s="16" t="s">
        <v>848</v>
      </c>
      <c r="D19" s="16" t="s">
        <v>487</v>
      </c>
      <c r="E19" s="16" t="s">
        <v>458</v>
      </c>
      <c r="F19" s="16" t="s">
        <v>864</v>
      </c>
      <c r="G19" s="16" t="s">
        <v>195</v>
      </c>
      <c r="H19" s="16"/>
      <c r="I19" s="16"/>
      <c r="J19" s="16" t="s">
        <v>437</v>
      </c>
      <c r="K19" s="16" t="s">
        <v>865</v>
      </c>
      <c r="L19" s="16" t="s">
        <v>885</v>
      </c>
      <c r="M19" s="20" t="str">
        <f>IFERROR(VLOOKUP(C19,'Scenario Register'!$A$9:$D$200,4,FALSE()),"")</f>
        <v>Reporting &amp; MI</v>
      </c>
      <c r="N19" s="20" t="str">
        <f>IFERROR(VLOOKUP(C19,'Scenario Register'!$A$9:$C$200,3,FALSE()),"")</f>
        <v>Dashboard Refresh</v>
      </c>
    </row>
    <row r="20" spans="1:14" ht="25.5" x14ac:dyDescent="0.25">
      <c r="A20" s="16" t="s">
        <v>886</v>
      </c>
      <c r="B20" s="17">
        <v>46077</v>
      </c>
      <c r="C20" s="16" t="s">
        <v>843</v>
      </c>
      <c r="D20" s="16" t="s">
        <v>460</v>
      </c>
      <c r="E20" s="16" t="s">
        <v>458</v>
      </c>
      <c r="F20" s="16" t="s">
        <v>864</v>
      </c>
      <c r="G20" s="16" t="s">
        <v>195</v>
      </c>
      <c r="H20" s="16"/>
      <c r="I20" s="16"/>
      <c r="J20" s="16" t="s">
        <v>437</v>
      </c>
      <c r="K20" s="16" t="s">
        <v>865</v>
      </c>
      <c r="L20" s="16" t="s">
        <v>885</v>
      </c>
      <c r="M20" s="20" t="str">
        <f>IFERROR(VLOOKUP(C20,'Scenario Register'!$A$9:$D$200,4,FALSE()),"")</f>
        <v>Reporting &amp; MI</v>
      </c>
      <c r="N20" s="20" t="str">
        <f>IFERROR(VLOOKUP(C20,'Scenario Register'!$A$9:$C$200,3,FALSE()),"")</f>
        <v>Regulatory Reporting</v>
      </c>
    </row>
    <row r="21" spans="1:14" x14ac:dyDescent="0.25">
      <c r="A21" s="16" t="s">
        <v>887</v>
      </c>
      <c r="B21" s="17">
        <v>46087</v>
      </c>
      <c r="C21" s="16" t="s">
        <v>792</v>
      </c>
      <c r="D21" s="16" t="s">
        <v>343</v>
      </c>
      <c r="E21" s="16" t="s">
        <v>436</v>
      </c>
      <c r="F21" s="16" t="s">
        <v>871</v>
      </c>
      <c r="G21" s="16" t="s">
        <v>195</v>
      </c>
      <c r="H21" s="16"/>
      <c r="I21" s="16"/>
      <c r="J21" s="16" t="s">
        <v>437</v>
      </c>
      <c r="K21" s="16" t="s">
        <v>865</v>
      </c>
      <c r="L21" s="16" t="s">
        <v>881</v>
      </c>
      <c r="M21" s="20" t="str">
        <f>IFERROR(VLOOKUP(C21,'Scenario Register'!$A$9:$D$200,4,FALSE()),"")</f>
        <v>Contact Centre</v>
      </c>
      <c r="N21" s="20" t="str">
        <f>IFERROR(VLOOKUP(C21,'Scenario Register'!$A$9:$C$200,3,FALSE()),"")</f>
        <v>Case Intake</v>
      </c>
    </row>
    <row r="22" spans="1:14" ht="25.5" x14ac:dyDescent="0.25">
      <c r="A22" s="16" t="s">
        <v>888</v>
      </c>
      <c r="B22" s="17">
        <v>46084</v>
      </c>
      <c r="C22" s="16" t="s">
        <v>840</v>
      </c>
      <c r="D22" s="16" t="s">
        <v>243</v>
      </c>
      <c r="E22" s="16" t="s">
        <v>436</v>
      </c>
      <c r="F22" s="16" t="s">
        <v>864</v>
      </c>
      <c r="G22" s="16" t="s">
        <v>195</v>
      </c>
      <c r="H22" s="16"/>
      <c r="I22" s="16"/>
      <c r="J22" s="16" t="s">
        <v>437</v>
      </c>
      <c r="K22" s="16" t="s">
        <v>865</v>
      </c>
      <c r="L22" s="25" t="s">
        <v>867</v>
      </c>
      <c r="M22" s="20" t="str">
        <f>IFERROR(VLOOKUP(C22,'Scenario Register'!$A$9:$D$200,4,FALSE()),"")</f>
        <v>Case Management</v>
      </c>
      <c r="N22" s="20" t="str">
        <f>IFERROR(VLOOKUP(C22,'Scenario Register'!$A$9:$C$200,3,FALSE()),"")</f>
        <v>Complaint Handling</v>
      </c>
    </row>
    <row r="23" spans="1:14" x14ac:dyDescent="0.25">
      <c r="A23" s="16" t="s">
        <v>889</v>
      </c>
      <c r="B23" s="17">
        <v>46088</v>
      </c>
      <c r="C23" s="16" t="s">
        <v>824</v>
      </c>
      <c r="D23" s="16" t="s">
        <v>484</v>
      </c>
      <c r="E23" s="16" t="s">
        <v>436</v>
      </c>
      <c r="F23" s="16" t="s">
        <v>871</v>
      </c>
      <c r="G23" s="16" t="s">
        <v>195</v>
      </c>
      <c r="H23" s="16"/>
      <c r="I23" s="16"/>
      <c r="J23" s="16" t="s">
        <v>437</v>
      </c>
      <c r="K23" s="16" t="s">
        <v>865</v>
      </c>
      <c r="L23" s="16"/>
      <c r="M23" s="20" t="str">
        <f>IFERROR(VLOOKUP(C23,'Scenario Register'!$A$9:$D$200,4,FALSE()),"")</f>
        <v>Contact Centre</v>
      </c>
      <c r="N23" s="20" t="str">
        <f>IFERROR(VLOOKUP(C23,'Scenario Register'!$A$9:$C$200,3,FALSE()),"")</f>
        <v>Case Intake</v>
      </c>
    </row>
    <row r="24" spans="1:14" ht="25.5" x14ac:dyDescent="0.25">
      <c r="A24" s="16" t="s">
        <v>890</v>
      </c>
      <c r="B24" s="17">
        <v>46086</v>
      </c>
      <c r="C24" s="16" t="s">
        <v>835</v>
      </c>
      <c r="D24" s="16" t="s">
        <v>269</v>
      </c>
      <c r="E24" s="16" t="s">
        <v>436</v>
      </c>
      <c r="F24" s="16" t="s">
        <v>871</v>
      </c>
      <c r="G24" s="16" t="s">
        <v>195</v>
      </c>
      <c r="H24" s="16"/>
      <c r="I24" s="16"/>
      <c r="J24" s="16" t="s">
        <v>437</v>
      </c>
      <c r="K24" s="16" t="s">
        <v>865</v>
      </c>
      <c r="L24" s="25" t="s">
        <v>867</v>
      </c>
      <c r="M24" s="20" t="str">
        <f>IFERROR(VLOOKUP(C24,'Scenario Register'!$A$9:$D$200,4,FALSE()),"")</f>
        <v>Case Management</v>
      </c>
      <c r="N24" s="20" t="str">
        <f>IFERROR(VLOOKUP(C24,'Scenario Register'!$A$9:$C$200,3,FALSE()),"")</f>
        <v>Case Update</v>
      </c>
    </row>
    <row r="25" spans="1:14" ht="25.5" x14ac:dyDescent="0.25">
      <c r="A25" s="16" t="s">
        <v>891</v>
      </c>
      <c r="B25" s="17">
        <v>46085</v>
      </c>
      <c r="C25" s="16" t="s">
        <v>838</v>
      </c>
      <c r="D25" s="16" t="s">
        <v>243</v>
      </c>
      <c r="E25" s="16" t="s">
        <v>458</v>
      </c>
      <c r="F25" s="16" t="s">
        <v>871</v>
      </c>
      <c r="G25" s="16" t="s">
        <v>195</v>
      </c>
      <c r="H25" s="16"/>
      <c r="I25" s="16"/>
      <c r="J25" s="16" t="s">
        <v>437</v>
      </c>
      <c r="K25" s="16" t="s">
        <v>865</v>
      </c>
      <c r="L25" s="16" t="s">
        <v>892</v>
      </c>
      <c r="M25" s="20" t="str">
        <f>IFERROR(VLOOKUP(C25,'Scenario Register'!$A$9:$D$200,4,FALSE()),"")</f>
        <v>Reporting &amp; MI</v>
      </c>
      <c r="N25" s="20" t="str">
        <f>IFERROR(VLOOKUP(C25,'Scenario Register'!$A$9:$C$200,3,FALSE()),"")</f>
        <v>Operational Reporting</v>
      </c>
    </row>
    <row r="26" spans="1:14" ht="25.5" x14ac:dyDescent="0.25">
      <c r="A26" s="16" t="s">
        <v>893</v>
      </c>
      <c r="B26" s="17">
        <v>46079</v>
      </c>
      <c r="C26" s="16" t="s">
        <v>779</v>
      </c>
      <c r="D26" s="16" t="s">
        <v>252</v>
      </c>
      <c r="E26" s="16" t="s">
        <v>458</v>
      </c>
      <c r="F26" s="16" t="s">
        <v>864</v>
      </c>
      <c r="G26" s="16" t="s">
        <v>195</v>
      </c>
      <c r="H26" s="16"/>
      <c r="I26" s="16"/>
      <c r="J26" s="16" t="s">
        <v>437</v>
      </c>
      <c r="K26" s="16" t="s">
        <v>865</v>
      </c>
      <c r="L26" s="16"/>
      <c r="M26" s="20" t="str">
        <f>IFERROR(VLOOKUP(C26,'Scenario Register'!$A$9:$D$200,4,FALSE()),"")</f>
        <v>Reporting &amp; MI</v>
      </c>
      <c r="N26" s="20" t="str">
        <f>IFERROR(VLOOKUP(C26,'Scenario Register'!$A$9:$C$200,3,FALSE()),"")</f>
        <v>Dashboard Refresh</v>
      </c>
    </row>
    <row r="27" spans="1:14" x14ac:dyDescent="0.25">
      <c r="A27" s="16" t="s">
        <v>894</v>
      </c>
      <c r="B27" s="17">
        <v>46083</v>
      </c>
      <c r="C27" s="16" t="s">
        <v>740</v>
      </c>
      <c r="D27" s="16" t="s">
        <v>476</v>
      </c>
      <c r="E27" s="16" t="s">
        <v>436</v>
      </c>
      <c r="F27" s="16" t="s">
        <v>864</v>
      </c>
      <c r="G27" s="16" t="s">
        <v>195</v>
      </c>
      <c r="H27" s="16"/>
      <c r="I27" s="16"/>
      <c r="J27" s="16" t="s">
        <v>437</v>
      </c>
      <c r="K27" s="16" t="s">
        <v>865</v>
      </c>
      <c r="L27" s="16"/>
      <c r="M27" s="20" t="str">
        <f>IFERROR(VLOOKUP(C27,'Scenario Register'!$A$9:$D$200,4,FALSE()),"")</f>
        <v>Contact Centre</v>
      </c>
      <c r="N27" s="20" t="str">
        <f>IFERROR(VLOOKUP(C27,'Scenario Register'!$A$9:$C$200,3,FALSE()),"")</f>
        <v>Case Intake</v>
      </c>
    </row>
    <row r="28" spans="1:14" ht="25.5" x14ac:dyDescent="0.25">
      <c r="A28" s="16" t="s">
        <v>895</v>
      </c>
      <c r="B28" s="17">
        <v>46088</v>
      </c>
      <c r="C28" s="16" t="s">
        <v>794</v>
      </c>
      <c r="D28" s="16" t="s">
        <v>487</v>
      </c>
      <c r="E28" s="16" t="s">
        <v>449</v>
      </c>
      <c r="F28" s="16" t="s">
        <v>871</v>
      </c>
      <c r="G28" s="16" t="s">
        <v>195</v>
      </c>
      <c r="H28" s="16"/>
      <c r="I28" s="16"/>
      <c r="J28" s="16" t="s">
        <v>437</v>
      </c>
      <c r="K28" s="16" t="s">
        <v>865</v>
      </c>
      <c r="L28" s="16" t="s">
        <v>885</v>
      </c>
      <c r="M28" s="20" t="str">
        <f>IFERROR(VLOOKUP(C28,'Scenario Register'!$A$9:$D$200,4,FALSE()),"")</f>
        <v>Field Operations</v>
      </c>
      <c r="N28" s="20" t="str">
        <f>IFERROR(VLOOKUP(C28,'Scenario Register'!$A$9:$C$200,3,FALSE()),"")</f>
        <v>Work Allocation</v>
      </c>
    </row>
    <row r="29" spans="1:14" x14ac:dyDescent="0.25">
      <c r="A29" s="16" t="s">
        <v>896</v>
      </c>
      <c r="B29" s="17">
        <v>46077</v>
      </c>
      <c r="C29" s="16" t="s">
        <v>827</v>
      </c>
      <c r="D29" s="16" t="s">
        <v>343</v>
      </c>
      <c r="E29" s="16" t="s">
        <v>449</v>
      </c>
      <c r="F29" s="16" t="s">
        <v>864</v>
      </c>
      <c r="G29" s="16" t="s">
        <v>195</v>
      </c>
      <c r="H29" s="16"/>
      <c r="I29" s="16"/>
      <c r="J29" s="16" t="s">
        <v>437</v>
      </c>
      <c r="K29" s="16" t="s">
        <v>865</v>
      </c>
      <c r="L29" s="16" t="s">
        <v>872</v>
      </c>
      <c r="M29" s="20" t="str">
        <f>IFERROR(VLOOKUP(C29,'Scenario Register'!$A$9:$D$200,4,FALSE()),"")</f>
        <v>Finance &amp; Billing</v>
      </c>
      <c r="N29" s="20" t="str">
        <f>IFERROR(VLOOKUP(C29,'Scenario Register'!$A$9:$C$200,3,FALSE()),"")</f>
        <v>Debt Review</v>
      </c>
    </row>
    <row r="30" spans="1:14" x14ac:dyDescent="0.25">
      <c r="A30" s="16" t="s">
        <v>897</v>
      </c>
      <c r="B30" s="17">
        <v>46091</v>
      </c>
      <c r="C30" s="16" t="s">
        <v>847</v>
      </c>
      <c r="D30" s="16" t="s">
        <v>269</v>
      </c>
      <c r="E30" s="16" t="s">
        <v>449</v>
      </c>
      <c r="F30" s="16" t="s">
        <v>871</v>
      </c>
      <c r="G30" s="16" t="s">
        <v>196</v>
      </c>
      <c r="H30" s="16"/>
      <c r="I30" s="16"/>
      <c r="J30" s="16" t="s">
        <v>438</v>
      </c>
      <c r="K30" s="16" t="s">
        <v>232</v>
      </c>
      <c r="L30" s="16"/>
      <c r="M30" s="20" t="str">
        <f>IFERROR(VLOOKUP(C30,'Scenario Register'!$A$9:$D$200,4,FALSE()),"")</f>
        <v>Finance &amp; Billing</v>
      </c>
      <c r="N30" s="20" t="str">
        <f>IFERROR(VLOOKUP(C30,'Scenario Register'!$A$9:$C$200,3,FALSE()),"")</f>
        <v>Adjustments</v>
      </c>
    </row>
    <row r="31" spans="1:14" ht="25.5" x14ac:dyDescent="0.25">
      <c r="A31" s="16" t="s">
        <v>898</v>
      </c>
      <c r="B31" s="17">
        <v>46086</v>
      </c>
      <c r="C31" s="16" t="s">
        <v>793</v>
      </c>
      <c r="D31" s="16" t="s">
        <v>456</v>
      </c>
      <c r="E31" s="16" t="s">
        <v>436</v>
      </c>
      <c r="F31" s="16" t="s">
        <v>871</v>
      </c>
      <c r="G31" s="16" t="s">
        <v>195</v>
      </c>
      <c r="H31" s="16"/>
      <c r="I31" s="16"/>
      <c r="J31" s="16" t="s">
        <v>437</v>
      </c>
      <c r="K31" s="16" t="s">
        <v>865</v>
      </c>
      <c r="L31" s="25" t="s">
        <v>867</v>
      </c>
      <c r="M31" s="20" t="str">
        <f>IFERROR(VLOOKUP(C31,'Scenario Register'!$A$9:$D$200,4,FALSE()),"")</f>
        <v>Case Management</v>
      </c>
      <c r="N31" s="20" t="str">
        <f>IFERROR(VLOOKUP(C31,'Scenario Register'!$A$9:$C$200,3,FALSE()),"")</f>
        <v>Case Update</v>
      </c>
    </row>
    <row r="32" spans="1:14" x14ac:dyDescent="0.25">
      <c r="A32" s="16" t="s">
        <v>899</v>
      </c>
      <c r="B32" s="17">
        <v>46086</v>
      </c>
      <c r="C32" s="16" t="s">
        <v>832</v>
      </c>
      <c r="D32" s="16" t="s">
        <v>476</v>
      </c>
      <c r="E32" s="16" t="s">
        <v>449</v>
      </c>
      <c r="F32" s="16" t="s">
        <v>871</v>
      </c>
      <c r="G32" s="16" t="s">
        <v>195</v>
      </c>
      <c r="H32" s="16"/>
      <c r="I32" s="16"/>
      <c r="J32" s="16" t="s">
        <v>437</v>
      </c>
      <c r="K32" s="16" t="s">
        <v>865</v>
      </c>
      <c r="L32" s="16"/>
      <c r="M32" s="20" t="str">
        <f>IFERROR(VLOOKUP(C32,'Scenario Register'!$A$9:$D$200,4,FALSE()),"")</f>
        <v>Finance &amp; Billing</v>
      </c>
      <c r="N32" s="20" t="str">
        <f>IFERROR(VLOOKUP(C32,'Scenario Register'!$A$9:$C$200,3,FALSE()),"")</f>
        <v>Charges &amp; Payments</v>
      </c>
    </row>
    <row r="33" spans="1:14" x14ac:dyDescent="0.25">
      <c r="A33" s="16" t="s">
        <v>900</v>
      </c>
      <c r="B33" s="17">
        <v>46089</v>
      </c>
      <c r="C33" s="16" t="s">
        <v>846</v>
      </c>
      <c r="D33" s="16" t="s">
        <v>446</v>
      </c>
      <c r="E33" s="16" t="s">
        <v>449</v>
      </c>
      <c r="F33" s="16" t="s">
        <v>871</v>
      </c>
      <c r="G33" s="16" t="s">
        <v>195</v>
      </c>
      <c r="H33" s="16"/>
      <c r="I33" s="16"/>
      <c r="J33" s="16" t="s">
        <v>437</v>
      </c>
      <c r="K33" s="16" t="s">
        <v>865</v>
      </c>
      <c r="L33" s="16" t="s">
        <v>881</v>
      </c>
      <c r="M33" s="20" t="str">
        <f>IFERROR(VLOOKUP(C33,'Scenario Register'!$A$9:$D$200,4,FALSE()),"")</f>
        <v>Field Operations</v>
      </c>
      <c r="N33" s="20" t="str">
        <f>IFERROR(VLOOKUP(C33,'Scenario Register'!$A$9:$C$200,3,FALSE()),"")</f>
        <v>Appointment Booking</v>
      </c>
    </row>
    <row r="34" spans="1:14" ht="25.5" x14ac:dyDescent="0.25">
      <c r="A34" s="16" t="s">
        <v>901</v>
      </c>
      <c r="B34" s="17">
        <v>46087</v>
      </c>
      <c r="C34" s="16" t="s">
        <v>833</v>
      </c>
      <c r="D34" s="16" t="s">
        <v>252</v>
      </c>
      <c r="E34" s="16" t="s">
        <v>458</v>
      </c>
      <c r="F34" s="16" t="s">
        <v>871</v>
      </c>
      <c r="G34" s="16" t="s">
        <v>197</v>
      </c>
      <c r="H34" s="16"/>
      <c r="I34" s="16" t="s">
        <v>902</v>
      </c>
      <c r="J34" s="16" t="s">
        <v>438</v>
      </c>
      <c r="K34" s="16" t="s">
        <v>232</v>
      </c>
      <c r="L34" s="16"/>
      <c r="M34" s="20" t="str">
        <f>IFERROR(VLOOKUP(C34,'Scenario Register'!$A$9:$D$200,4,FALSE()),"")</f>
        <v>Reporting &amp; MI</v>
      </c>
      <c r="N34" s="20" t="str">
        <f>IFERROR(VLOOKUP(C34,'Scenario Register'!$A$9:$C$200,3,FALSE()),"")</f>
        <v>Regulatory Reporting</v>
      </c>
    </row>
    <row r="35" spans="1:14" x14ac:dyDescent="0.25">
      <c r="A35" s="16" t="s">
        <v>903</v>
      </c>
      <c r="B35" s="17">
        <v>46086</v>
      </c>
      <c r="C35" s="16" t="s">
        <v>760</v>
      </c>
      <c r="D35" s="16" t="s">
        <v>252</v>
      </c>
      <c r="E35" s="16" t="s">
        <v>436</v>
      </c>
      <c r="F35" s="16" t="s">
        <v>871</v>
      </c>
      <c r="G35" s="16" t="s">
        <v>195</v>
      </c>
      <c r="H35" s="16"/>
      <c r="I35" s="16"/>
      <c r="J35" s="16" t="s">
        <v>437</v>
      </c>
      <c r="K35" s="16" t="s">
        <v>865</v>
      </c>
      <c r="L35" s="16"/>
      <c r="M35" s="20" t="str">
        <f>IFERROR(VLOOKUP(C35,'Scenario Register'!$A$9:$D$200,4,FALSE()),"")</f>
        <v>Case Management</v>
      </c>
      <c r="N35" s="20" t="str">
        <f>IFERROR(VLOOKUP(C35,'Scenario Register'!$A$9:$C$200,3,FALSE()),"")</f>
        <v>Complaint Handling</v>
      </c>
    </row>
    <row r="36" spans="1:14" ht="25.5" x14ac:dyDescent="0.25">
      <c r="A36" s="16" t="s">
        <v>904</v>
      </c>
      <c r="B36" s="17">
        <v>46080</v>
      </c>
      <c r="C36" s="16" t="s">
        <v>845</v>
      </c>
      <c r="D36" s="16" t="s">
        <v>481</v>
      </c>
      <c r="E36" s="16" t="s">
        <v>436</v>
      </c>
      <c r="F36" s="16" t="s">
        <v>864</v>
      </c>
      <c r="G36" s="16" t="s">
        <v>195</v>
      </c>
      <c r="H36" s="16"/>
      <c r="I36" s="16"/>
      <c r="J36" s="16" t="s">
        <v>437</v>
      </c>
      <c r="K36" s="16" t="s">
        <v>865</v>
      </c>
      <c r="L36" s="16" t="s">
        <v>885</v>
      </c>
      <c r="M36" s="20" t="str">
        <f>IFERROR(VLOOKUP(C36,'Scenario Register'!$A$9:$D$200,4,FALSE()),"")</f>
        <v>Case Management</v>
      </c>
      <c r="N36" s="20" t="str">
        <f>IFERROR(VLOOKUP(C36,'Scenario Register'!$A$9:$C$200,3,FALSE()),"")</f>
        <v>Escalations</v>
      </c>
    </row>
    <row r="37" spans="1:14" x14ac:dyDescent="0.25">
      <c r="A37" s="16" t="s">
        <v>905</v>
      </c>
      <c r="B37" s="17">
        <v>46084</v>
      </c>
      <c r="C37" s="16" t="s">
        <v>841</v>
      </c>
      <c r="D37" s="16" t="s">
        <v>487</v>
      </c>
      <c r="E37" s="16" t="s">
        <v>449</v>
      </c>
      <c r="F37" s="16" t="s">
        <v>864</v>
      </c>
      <c r="G37" s="16" t="s">
        <v>195</v>
      </c>
      <c r="H37" s="16"/>
      <c r="I37" s="16"/>
      <c r="J37" s="16" t="s">
        <v>437</v>
      </c>
      <c r="K37" s="16" t="s">
        <v>865</v>
      </c>
      <c r="L37" s="16" t="s">
        <v>872</v>
      </c>
      <c r="M37" s="20" t="str">
        <f>IFERROR(VLOOKUP(C37,'Scenario Register'!$A$9:$D$200,4,FALSE()),"")</f>
        <v>Field Operations</v>
      </c>
      <c r="N37" s="20" t="str">
        <f>IFERROR(VLOOKUP(C37,'Scenario Register'!$A$9:$C$200,3,FALSE()),"")</f>
        <v>Mobile Updates</v>
      </c>
    </row>
    <row r="38" spans="1:14" x14ac:dyDescent="0.25">
      <c r="A38" s="16" t="s">
        <v>906</v>
      </c>
      <c r="B38" s="17">
        <v>46091</v>
      </c>
      <c r="C38" s="16" t="s">
        <v>811</v>
      </c>
      <c r="D38" s="16" t="s">
        <v>460</v>
      </c>
      <c r="E38" s="16" t="s">
        <v>449</v>
      </c>
      <c r="F38" s="16" t="s">
        <v>871</v>
      </c>
      <c r="G38" s="16" t="s">
        <v>195</v>
      </c>
      <c r="H38" s="16"/>
      <c r="I38" s="16"/>
      <c r="J38" s="16" t="s">
        <v>437</v>
      </c>
      <c r="K38" s="16" t="s">
        <v>865</v>
      </c>
      <c r="L38" s="16"/>
      <c r="M38" s="20" t="str">
        <f>IFERROR(VLOOKUP(C38,'Scenario Register'!$A$9:$D$200,4,FALSE()),"")</f>
        <v>Field Operations</v>
      </c>
      <c r="N38" s="20" t="str">
        <f>IFERROR(VLOOKUP(C38,'Scenario Register'!$A$9:$C$200,3,FALSE()),"")</f>
        <v>Mobile Updates</v>
      </c>
    </row>
    <row r="39" spans="1:14" ht="25.5" x14ac:dyDescent="0.25">
      <c r="A39" s="16" t="s">
        <v>907</v>
      </c>
      <c r="B39" s="17">
        <v>46085</v>
      </c>
      <c r="C39" s="16" t="s">
        <v>808</v>
      </c>
      <c r="D39" s="16" t="s">
        <v>490</v>
      </c>
      <c r="E39" s="16" t="s">
        <v>458</v>
      </c>
      <c r="F39" s="16" t="s">
        <v>871</v>
      </c>
      <c r="G39" s="16" t="s">
        <v>197</v>
      </c>
      <c r="H39" s="16" t="s">
        <v>908</v>
      </c>
      <c r="I39" s="16" t="s">
        <v>909</v>
      </c>
      <c r="J39" s="16" t="s">
        <v>438</v>
      </c>
      <c r="K39" s="16" t="s">
        <v>232</v>
      </c>
      <c r="L39" s="16" t="s">
        <v>885</v>
      </c>
      <c r="M39" s="20" t="str">
        <f>IFERROR(VLOOKUP(C39,'Scenario Register'!$A$9:$D$200,4,FALSE()),"")</f>
        <v>Reporting &amp; MI</v>
      </c>
      <c r="N39" s="20" t="str">
        <f>IFERROR(VLOOKUP(C39,'Scenario Register'!$A$9:$C$200,3,FALSE()),"")</f>
        <v>Operational Reporting</v>
      </c>
    </row>
    <row r="40" spans="1:14" ht="25.5" x14ac:dyDescent="0.25">
      <c r="A40" s="16" t="s">
        <v>910</v>
      </c>
      <c r="B40" s="17">
        <v>46088</v>
      </c>
      <c r="C40" s="16" t="s">
        <v>837</v>
      </c>
      <c r="D40" s="16" t="s">
        <v>476</v>
      </c>
      <c r="E40" s="16" t="s">
        <v>449</v>
      </c>
      <c r="F40" s="16" t="s">
        <v>871</v>
      </c>
      <c r="G40" s="16" t="s">
        <v>195</v>
      </c>
      <c r="H40" s="16"/>
      <c r="I40" s="16"/>
      <c r="J40" s="16" t="s">
        <v>437</v>
      </c>
      <c r="K40" s="16" t="s">
        <v>865</v>
      </c>
      <c r="L40" s="25" t="s">
        <v>867</v>
      </c>
      <c r="M40" s="20" t="str">
        <f>IFERROR(VLOOKUP(C40,'Scenario Register'!$A$9:$D$200,4,FALSE()),"")</f>
        <v>Finance &amp; Billing</v>
      </c>
      <c r="N40" s="20" t="str">
        <f>IFERROR(VLOOKUP(C40,'Scenario Register'!$A$9:$C$200,3,FALSE()),"")</f>
        <v>Debt Review</v>
      </c>
    </row>
    <row r="41" spans="1:14" x14ac:dyDescent="0.25">
      <c r="A41" s="16" t="s">
        <v>911</v>
      </c>
      <c r="B41" s="17">
        <v>46078</v>
      </c>
      <c r="C41" s="16" t="s">
        <v>798</v>
      </c>
      <c r="D41" s="16" t="s">
        <v>456</v>
      </c>
      <c r="E41" s="16" t="s">
        <v>436</v>
      </c>
      <c r="F41" s="16" t="s">
        <v>864</v>
      </c>
      <c r="G41" s="16" t="s">
        <v>195</v>
      </c>
      <c r="H41" s="16"/>
      <c r="I41" s="16"/>
      <c r="J41" s="16" t="s">
        <v>437</v>
      </c>
      <c r="K41" s="16" t="s">
        <v>865</v>
      </c>
      <c r="L41" s="16"/>
      <c r="M41" s="20" t="str">
        <f>IFERROR(VLOOKUP(C41,'Scenario Register'!$A$9:$D$200,4,FALSE()),"")</f>
        <v>Contact Centre</v>
      </c>
      <c r="N41" s="20" t="str">
        <f>IFERROR(VLOOKUP(C41,'Scenario Register'!$A$9:$C$200,3,FALSE()),"")</f>
        <v>Identity &amp; Eligibility</v>
      </c>
    </row>
    <row r="42" spans="1:14" x14ac:dyDescent="0.25">
      <c r="A42" s="16" t="s">
        <v>912</v>
      </c>
      <c r="B42" s="17">
        <v>46084</v>
      </c>
      <c r="C42" s="16" t="s">
        <v>852</v>
      </c>
      <c r="D42" s="16" t="s">
        <v>79</v>
      </c>
      <c r="E42" s="16" t="s">
        <v>449</v>
      </c>
      <c r="F42" s="16" t="s">
        <v>864</v>
      </c>
      <c r="G42" s="16" t="s">
        <v>196</v>
      </c>
      <c r="H42" s="16" t="s">
        <v>913</v>
      </c>
      <c r="I42" s="16"/>
      <c r="J42" s="16" t="s">
        <v>438</v>
      </c>
      <c r="K42" s="16" t="s">
        <v>232</v>
      </c>
      <c r="L42" s="16"/>
      <c r="M42" s="20" t="str">
        <f>IFERROR(VLOOKUP(C42,'Scenario Register'!$A$9:$D$200,4,FALSE()),"")</f>
        <v>Finance &amp; Billing</v>
      </c>
      <c r="N42" s="20" t="str">
        <f>IFERROR(VLOOKUP(C42,'Scenario Register'!$A$9:$C$200,3,FALSE()),"")</f>
        <v>Refunds</v>
      </c>
    </row>
    <row r="43" spans="1:14" x14ac:dyDescent="0.25">
      <c r="A43" s="16" t="s">
        <v>914</v>
      </c>
      <c r="B43" s="17">
        <v>46083</v>
      </c>
      <c r="C43" s="16" t="s">
        <v>824</v>
      </c>
      <c r="D43" s="16" t="s">
        <v>484</v>
      </c>
      <c r="E43" s="16" t="s">
        <v>436</v>
      </c>
      <c r="F43" s="16" t="s">
        <v>864</v>
      </c>
      <c r="G43" s="16" t="s">
        <v>195</v>
      </c>
      <c r="H43" s="16"/>
      <c r="I43" s="16"/>
      <c r="J43" s="16" t="s">
        <v>437</v>
      </c>
      <c r="K43" s="16" t="s">
        <v>865</v>
      </c>
      <c r="L43" s="16"/>
      <c r="M43" s="20" t="str">
        <f>IFERROR(VLOOKUP(C43,'Scenario Register'!$A$9:$D$200,4,FALSE()),"")</f>
        <v>Contact Centre</v>
      </c>
      <c r="N43" s="20" t="str">
        <f>IFERROR(VLOOKUP(C43,'Scenario Register'!$A$9:$C$200,3,FALSE()),"")</f>
        <v>Case Intake</v>
      </c>
    </row>
    <row r="44" spans="1:14" x14ac:dyDescent="0.25">
      <c r="A44" s="16" t="s">
        <v>915</v>
      </c>
      <c r="B44" s="17">
        <v>46091</v>
      </c>
      <c r="C44" s="16" t="s">
        <v>807</v>
      </c>
      <c r="D44" s="16" t="s">
        <v>487</v>
      </c>
      <c r="E44" s="16" t="s">
        <v>449</v>
      </c>
      <c r="F44" s="16" t="s">
        <v>871</v>
      </c>
      <c r="G44" s="16" t="s">
        <v>198</v>
      </c>
      <c r="H44" s="16"/>
      <c r="I44" s="16"/>
      <c r="J44" s="16" t="s">
        <v>437</v>
      </c>
      <c r="K44" s="16" t="s">
        <v>865</v>
      </c>
      <c r="L44" s="16" t="s">
        <v>872</v>
      </c>
      <c r="M44" s="20" t="str">
        <f>IFERROR(VLOOKUP(C44,'Scenario Register'!$A$9:$D$200,4,FALSE()),"")</f>
        <v>Finance &amp; Billing</v>
      </c>
      <c r="N44" s="20" t="str">
        <f>IFERROR(VLOOKUP(C44,'Scenario Register'!$A$9:$C$200,3,FALSE()),"")</f>
        <v>Debt Review</v>
      </c>
    </row>
    <row r="45" spans="1:14" x14ac:dyDescent="0.25">
      <c r="A45" s="16" t="s">
        <v>916</v>
      </c>
      <c r="B45" s="17">
        <v>46090</v>
      </c>
      <c r="C45" s="16" t="s">
        <v>771</v>
      </c>
      <c r="D45" s="16" t="s">
        <v>484</v>
      </c>
      <c r="E45" s="16" t="s">
        <v>436</v>
      </c>
      <c r="F45" s="16" t="s">
        <v>871</v>
      </c>
      <c r="G45" s="16" t="s">
        <v>196</v>
      </c>
      <c r="H45" s="16" t="s">
        <v>917</v>
      </c>
      <c r="I45" s="16"/>
      <c r="J45" s="16" t="s">
        <v>438</v>
      </c>
      <c r="K45" s="16" t="s">
        <v>232</v>
      </c>
      <c r="L45" s="16" t="s">
        <v>881</v>
      </c>
      <c r="M45" s="20" t="str">
        <f>IFERROR(VLOOKUP(C45,'Scenario Register'!$A$9:$D$200,4,FALSE()),"")</f>
        <v>Contact Centre</v>
      </c>
      <c r="N45" s="20" t="str">
        <f>IFERROR(VLOOKUP(C45,'Scenario Register'!$A$9:$C$200,3,FALSE()),"")</f>
        <v>Call Handling</v>
      </c>
    </row>
    <row r="46" spans="1:14" x14ac:dyDescent="0.25">
      <c r="A46" s="16" t="s">
        <v>918</v>
      </c>
      <c r="B46" s="17">
        <v>46089</v>
      </c>
      <c r="C46" s="16" t="s">
        <v>839</v>
      </c>
      <c r="D46" s="16" t="s">
        <v>343</v>
      </c>
      <c r="E46" s="16" t="s">
        <v>436</v>
      </c>
      <c r="F46" s="16" t="s">
        <v>871</v>
      </c>
      <c r="G46" s="16" t="s">
        <v>196</v>
      </c>
      <c r="H46" s="16" t="s">
        <v>919</v>
      </c>
      <c r="I46" s="16"/>
      <c r="J46" s="16" t="s">
        <v>438</v>
      </c>
      <c r="K46" s="16" t="s">
        <v>232</v>
      </c>
      <c r="L46" s="16" t="s">
        <v>881</v>
      </c>
      <c r="M46" s="20" t="str">
        <f>IFERROR(VLOOKUP(C46,'Scenario Register'!$A$9:$D$200,4,FALSE()),"")</f>
        <v>Contact Centre</v>
      </c>
      <c r="N46" s="20" t="str">
        <f>IFERROR(VLOOKUP(C46,'Scenario Register'!$A$9:$C$200,3,FALSE()),"")</f>
        <v>Identity &amp; Eligibility</v>
      </c>
    </row>
    <row r="47" spans="1:14" x14ac:dyDescent="0.25">
      <c r="A47" s="16" t="s">
        <v>920</v>
      </c>
      <c r="B47" s="17">
        <v>46082</v>
      </c>
      <c r="C47" s="16" t="s">
        <v>787</v>
      </c>
      <c r="D47" s="16" t="s">
        <v>243</v>
      </c>
      <c r="E47" s="16" t="s">
        <v>449</v>
      </c>
      <c r="F47" s="16" t="s">
        <v>864</v>
      </c>
      <c r="G47" s="16" t="s">
        <v>195</v>
      </c>
      <c r="H47" s="16"/>
      <c r="I47" s="16"/>
      <c r="J47" s="16" t="s">
        <v>437</v>
      </c>
      <c r="K47" s="16" t="s">
        <v>865</v>
      </c>
      <c r="L47" s="16" t="s">
        <v>892</v>
      </c>
      <c r="M47" s="20" t="str">
        <f>IFERROR(VLOOKUP(C47,'Scenario Register'!$A$9:$D$200,4,FALSE()),"")</f>
        <v>Finance &amp; Billing</v>
      </c>
      <c r="N47" s="20" t="str">
        <f>IFERROR(VLOOKUP(C47,'Scenario Register'!$A$9:$C$200,3,FALSE()),"")</f>
        <v>Refunds</v>
      </c>
    </row>
    <row r="48" spans="1:14" x14ac:dyDescent="0.25">
      <c r="A48" s="16" t="s">
        <v>921</v>
      </c>
      <c r="B48" s="17">
        <v>46087</v>
      </c>
      <c r="C48" s="16" t="s">
        <v>744</v>
      </c>
      <c r="D48" s="16" t="s">
        <v>252</v>
      </c>
      <c r="E48" s="16" t="s">
        <v>436</v>
      </c>
      <c r="F48" s="16" t="s">
        <v>871</v>
      </c>
      <c r="G48" s="16" t="s">
        <v>195</v>
      </c>
      <c r="H48" s="16"/>
      <c r="I48" s="16"/>
      <c r="J48" s="16" t="s">
        <v>437</v>
      </c>
      <c r="K48" s="16" t="s">
        <v>865</v>
      </c>
      <c r="L48" s="16"/>
      <c r="M48" s="20" t="str">
        <f>IFERROR(VLOOKUP(C48,'Scenario Register'!$A$9:$D$200,4,FALSE()),"")</f>
        <v>Case Management</v>
      </c>
      <c r="N48" s="20" t="str">
        <f>IFERROR(VLOOKUP(C48,'Scenario Register'!$A$9:$C$200,3,FALSE()),"")</f>
        <v>Case Update</v>
      </c>
    </row>
    <row r="49" spans="1:14" x14ac:dyDescent="0.25">
      <c r="A49" s="16" t="s">
        <v>922</v>
      </c>
      <c r="B49" s="17">
        <v>46080</v>
      </c>
      <c r="C49" s="16" t="s">
        <v>740</v>
      </c>
      <c r="D49" s="16" t="s">
        <v>476</v>
      </c>
      <c r="E49" s="16" t="s">
        <v>436</v>
      </c>
      <c r="F49" s="16" t="s">
        <v>864</v>
      </c>
      <c r="G49" s="16" t="s">
        <v>197</v>
      </c>
      <c r="H49" s="16"/>
      <c r="I49" s="16" t="s">
        <v>923</v>
      </c>
      <c r="J49" s="16" t="s">
        <v>438</v>
      </c>
      <c r="K49" s="16" t="s">
        <v>232</v>
      </c>
      <c r="L49" s="16"/>
      <c r="M49" s="20" t="str">
        <f>IFERROR(VLOOKUP(C49,'Scenario Register'!$A$9:$D$200,4,FALSE()),"")</f>
        <v>Contact Centre</v>
      </c>
      <c r="N49" s="20" t="str">
        <f>IFERROR(VLOOKUP(C49,'Scenario Register'!$A$9:$C$200,3,FALSE()),"")</f>
        <v>Case Intake</v>
      </c>
    </row>
    <row r="50" spans="1:14" x14ac:dyDescent="0.25">
      <c r="A50" s="16" t="s">
        <v>924</v>
      </c>
      <c r="B50" s="17">
        <v>46077</v>
      </c>
      <c r="C50" s="16" t="s">
        <v>787</v>
      </c>
      <c r="D50" s="16" t="s">
        <v>243</v>
      </c>
      <c r="E50" s="16" t="s">
        <v>449</v>
      </c>
      <c r="F50" s="16" t="s">
        <v>864</v>
      </c>
      <c r="G50" s="16" t="s">
        <v>195</v>
      </c>
      <c r="H50" s="16"/>
      <c r="I50" s="16"/>
      <c r="J50" s="16" t="s">
        <v>437</v>
      </c>
      <c r="K50" s="16" t="s">
        <v>865</v>
      </c>
      <c r="L50" s="16" t="s">
        <v>881</v>
      </c>
      <c r="M50" s="20" t="str">
        <f>IFERROR(VLOOKUP(C50,'Scenario Register'!$A$9:$D$200,4,FALSE()),"")</f>
        <v>Finance &amp; Billing</v>
      </c>
      <c r="N50" s="20" t="str">
        <f>IFERROR(VLOOKUP(C50,'Scenario Register'!$A$9:$C$200,3,FALSE()),"")</f>
        <v>Refunds</v>
      </c>
    </row>
    <row r="51" spans="1:14" ht="25.5" x14ac:dyDescent="0.25">
      <c r="A51" s="16" t="s">
        <v>925</v>
      </c>
      <c r="B51" s="17">
        <v>46089</v>
      </c>
      <c r="C51" s="16" t="s">
        <v>833</v>
      </c>
      <c r="D51" s="16" t="s">
        <v>252</v>
      </c>
      <c r="E51" s="16" t="s">
        <v>458</v>
      </c>
      <c r="F51" s="16" t="s">
        <v>871</v>
      </c>
      <c r="G51" s="16" t="s">
        <v>197</v>
      </c>
      <c r="H51" s="16" t="s">
        <v>926</v>
      </c>
      <c r="I51" s="16" t="s">
        <v>927</v>
      </c>
      <c r="J51" s="16" t="s">
        <v>438</v>
      </c>
      <c r="K51" s="16" t="s">
        <v>232</v>
      </c>
      <c r="L51" s="16" t="s">
        <v>885</v>
      </c>
      <c r="M51" s="20" t="str">
        <f>IFERROR(VLOOKUP(C51,'Scenario Register'!$A$9:$D$200,4,FALSE()),"")</f>
        <v>Reporting &amp; MI</v>
      </c>
      <c r="N51" s="20" t="str">
        <f>IFERROR(VLOOKUP(C51,'Scenario Register'!$A$9:$C$200,3,FALSE()),"")</f>
        <v>Regulatory Reporting</v>
      </c>
    </row>
    <row r="52" spans="1:14" x14ac:dyDescent="0.25">
      <c r="A52" s="16" t="s">
        <v>928</v>
      </c>
      <c r="B52" s="17">
        <v>46091</v>
      </c>
      <c r="C52" s="16" t="s">
        <v>785</v>
      </c>
      <c r="D52" s="16" t="s">
        <v>81</v>
      </c>
      <c r="E52" s="16" t="s">
        <v>449</v>
      </c>
      <c r="F52" s="16" t="s">
        <v>871</v>
      </c>
      <c r="G52" s="16" t="s">
        <v>197</v>
      </c>
      <c r="H52" s="16" t="s">
        <v>929</v>
      </c>
      <c r="I52" s="16" t="s">
        <v>930</v>
      </c>
      <c r="J52" s="16" t="s">
        <v>438</v>
      </c>
      <c r="K52" s="16" t="s">
        <v>875</v>
      </c>
      <c r="L52" s="16" t="s">
        <v>872</v>
      </c>
      <c r="M52" s="20" t="str">
        <f>IFERROR(VLOOKUP(C52,'Scenario Register'!$A$9:$D$200,4,FALSE()),"")</f>
        <v>Field Operations</v>
      </c>
      <c r="N52" s="20" t="str">
        <f>IFERROR(VLOOKUP(C52,'Scenario Register'!$A$9:$C$200,3,FALSE()),"")</f>
        <v>Visit Completion</v>
      </c>
    </row>
    <row r="53" spans="1:14" ht="25.5" x14ac:dyDescent="0.25">
      <c r="A53" s="16" t="s">
        <v>931</v>
      </c>
      <c r="B53" s="17">
        <v>46091</v>
      </c>
      <c r="C53" s="16" t="s">
        <v>843</v>
      </c>
      <c r="D53" s="16" t="s">
        <v>460</v>
      </c>
      <c r="E53" s="16" t="s">
        <v>458</v>
      </c>
      <c r="F53" s="16" t="s">
        <v>871</v>
      </c>
      <c r="G53" s="16" t="s">
        <v>195</v>
      </c>
      <c r="H53" s="16"/>
      <c r="I53" s="16"/>
      <c r="J53" s="16" t="s">
        <v>437</v>
      </c>
      <c r="K53" s="16" t="s">
        <v>865</v>
      </c>
      <c r="L53" s="16" t="s">
        <v>872</v>
      </c>
      <c r="M53" s="20" t="str">
        <f>IFERROR(VLOOKUP(C53,'Scenario Register'!$A$9:$D$200,4,FALSE()),"")</f>
        <v>Reporting &amp; MI</v>
      </c>
      <c r="N53" s="20" t="str">
        <f>IFERROR(VLOOKUP(C53,'Scenario Register'!$A$9:$C$200,3,FALSE()),"")</f>
        <v>Regulatory Reporting</v>
      </c>
    </row>
    <row r="54" spans="1:14" x14ac:dyDescent="0.25">
      <c r="A54" s="16" t="s">
        <v>932</v>
      </c>
      <c r="B54" s="17">
        <v>46082</v>
      </c>
      <c r="C54" s="16" t="s">
        <v>811</v>
      </c>
      <c r="D54" s="16" t="s">
        <v>460</v>
      </c>
      <c r="E54" s="16" t="s">
        <v>449</v>
      </c>
      <c r="F54" s="16" t="s">
        <v>864</v>
      </c>
      <c r="G54" s="16" t="s">
        <v>198</v>
      </c>
      <c r="H54" s="16"/>
      <c r="I54" s="16"/>
      <c r="J54" s="16" t="s">
        <v>437</v>
      </c>
      <c r="K54" s="16" t="s">
        <v>865</v>
      </c>
      <c r="L54" s="16" t="s">
        <v>872</v>
      </c>
      <c r="M54" s="20" t="str">
        <f>IFERROR(VLOOKUP(C54,'Scenario Register'!$A$9:$D$200,4,FALSE()),"")</f>
        <v>Field Operations</v>
      </c>
      <c r="N54" s="20" t="str">
        <f>IFERROR(VLOOKUP(C54,'Scenario Register'!$A$9:$C$200,3,FALSE()),"")</f>
        <v>Mobile Updates</v>
      </c>
    </row>
    <row r="55" spans="1:14" x14ac:dyDescent="0.25">
      <c r="A55" s="16" t="s">
        <v>933</v>
      </c>
      <c r="B55" s="17">
        <v>46083</v>
      </c>
      <c r="C55" s="16" t="s">
        <v>795</v>
      </c>
      <c r="D55" s="16" t="s">
        <v>460</v>
      </c>
      <c r="E55" s="16" t="s">
        <v>449</v>
      </c>
      <c r="F55" s="16" t="s">
        <v>864</v>
      </c>
      <c r="G55" s="16" t="s">
        <v>195</v>
      </c>
      <c r="H55" s="16"/>
      <c r="I55" s="16"/>
      <c r="J55" s="16" t="s">
        <v>437</v>
      </c>
      <c r="K55" s="16" t="s">
        <v>865</v>
      </c>
      <c r="L55" s="16" t="s">
        <v>881</v>
      </c>
      <c r="M55" s="20" t="str">
        <f>IFERROR(VLOOKUP(C55,'Scenario Register'!$A$9:$D$200,4,FALSE()),"")</f>
        <v>Finance &amp; Billing</v>
      </c>
      <c r="N55" s="20" t="str">
        <f>IFERROR(VLOOKUP(C55,'Scenario Register'!$A$9:$C$200,3,FALSE()),"")</f>
        <v>Debt Review</v>
      </c>
    </row>
    <row r="56" spans="1:14" ht="25.5" x14ac:dyDescent="0.25">
      <c r="A56" s="16" t="s">
        <v>934</v>
      </c>
      <c r="B56" s="17">
        <v>46084</v>
      </c>
      <c r="C56" s="16" t="s">
        <v>833</v>
      </c>
      <c r="D56" s="16" t="s">
        <v>252</v>
      </c>
      <c r="E56" s="16" t="s">
        <v>458</v>
      </c>
      <c r="F56" s="16" t="s">
        <v>864</v>
      </c>
      <c r="G56" s="16" t="s">
        <v>196</v>
      </c>
      <c r="H56" s="16" t="s">
        <v>926</v>
      </c>
      <c r="I56" s="16"/>
      <c r="J56" s="16" t="s">
        <v>438</v>
      </c>
      <c r="K56" s="16" t="s">
        <v>103</v>
      </c>
      <c r="L56" s="16"/>
      <c r="M56" s="20" t="str">
        <f>IFERROR(VLOOKUP(C56,'Scenario Register'!$A$9:$D$200,4,FALSE()),"")</f>
        <v>Reporting &amp; MI</v>
      </c>
      <c r="N56" s="20" t="str">
        <f>IFERROR(VLOOKUP(C56,'Scenario Register'!$A$9:$C$200,3,FALSE()),"")</f>
        <v>Regulatory Reporting</v>
      </c>
    </row>
    <row r="57" spans="1:14" x14ac:dyDescent="0.25">
      <c r="A57" s="16" t="s">
        <v>935</v>
      </c>
      <c r="B57" s="17">
        <v>46083</v>
      </c>
      <c r="C57" s="16" t="s">
        <v>817</v>
      </c>
      <c r="D57" s="16" t="s">
        <v>243</v>
      </c>
      <c r="E57" s="16" t="s">
        <v>449</v>
      </c>
      <c r="F57" s="16" t="s">
        <v>864</v>
      </c>
      <c r="G57" s="16" t="s">
        <v>195</v>
      </c>
      <c r="H57" s="16"/>
      <c r="I57" s="16"/>
      <c r="J57" s="16" t="s">
        <v>437</v>
      </c>
      <c r="K57" s="16" t="s">
        <v>865</v>
      </c>
      <c r="L57" s="16" t="s">
        <v>881</v>
      </c>
      <c r="M57" s="20" t="str">
        <f>IFERROR(VLOOKUP(C57,'Scenario Register'!$A$9:$D$200,4,FALSE()),"")</f>
        <v>Finance &amp; Billing</v>
      </c>
      <c r="N57" s="20" t="str">
        <f>IFERROR(VLOOKUP(C57,'Scenario Register'!$A$9:$C$200,3,FALSE()),"")</f>
        <v>Adjustments</v>
      </c>
    </row>
    <row r="58" spans="1:14" ht="25.5" x14ac:dyDescent="0.25">
      <c r="A58" s="16" t="s">
        <v>936</v>
      </c>
      <c r="B58" s="17">
        <v>46078</v>
      </c>
      <c r="C58" s="16" t="s">
        <v>797</v>
      </c>
      <c r="D58" s="16" t="s">
        <v>79</v>
      </c>
      <c r="E58" s="16" t="s">
        <v>458</v>
      </c>
      <c r="F58" s="16" t="s">
        <v>864</v>
      </c>
      <c r="G58" s="16" t="s">
        <v>197</v>
      </c>
      <c r="H58" s="16"/>
      <c r="I58" s="16" t="s">
        <v>902</v>
      </c>
      <c r="J58" s="16" t="s">
        <v>438</v>
      </c>
      <c r="K58" s="16" t="s">
        <v>875</v>
      </c>
      <c r="L58" s="25" t="s">
        <v>867</v>
      </c>
      <c r="M58" s="20" t="str">
        <f>IFERROR(VLOOKUP(C58,'Scenario Register'!$A$9:$D$200,4,FALSE()),"")</f>
        <v>Reporting &amp; MI</v>
      </c>
      <c r="N58" s="20" t="str">
        <f>IFERROR(VLOOKUP(C58,'Scenario Register'!$A$9:$C$200,3,FALSE()),"")</f>
        <v>Operational Reporting</v>
      </c>
    </row>
    <row r="59" spans="1:14" x14ac:dyDescent="0.25">
      <c r="A59" s="16" t="s">
        <v>937</v>
      </c>
      <c r="B59" s="17">
        <v>46086</v>
      </c>
      <c r="C59" s="16" t="s">
        <v>826</v>
      </c>
      <c r="D59" s="16" t="s">
        <v>484</v>
      </c>
      <c r="E59" s="16" t="s">
        <v>449</v>
      </c>
      <c r="F59" s="16" t="s">
        <v>871</v>
      </c>
      <c r="G59" s="16" t="s">
        <v>195</v>
      </c>
      <c r="H59" s="16"/>
      <c r="I59" s="16"/>
      <c r="J59" s="16" t="s">
        <v>437</v>
      </c>
      <c r="K59" s="16" t="s">
        <v>865</v>
      </c>
      <c r="L59" s="16" t="s">
        <v>872</v>
      </c>
      <c r="M59" s="20" t="str">
        <f>IFERROR(VLOOKUP(C59,'Scenario Register'!$A$9:$D$200,4,FALSE()),"")</f>
        <v>Field Operations</v>
      </c>
      <c r="N59" s="20" t="str">
        <f>IFERROR(VLOOKUP(C59,'Scenario Register'!$A$9:$C$200,3,FALSE()),"")</f>
        <v>Work Allocation</v>
      </c>
    </row>
    <row r="60" spans="1:14" ht="25.5" x14ac:dyDescent="0.25">
      <c r="A60" s="16" t="s">
        <v>938</v>
      </c>
      <c r="B60" s="17">
        <v>46085</v>
      </c>
      <c r="C60" s="16" t="s">
        <v>831</v>
      </c>
      <c r="D60" s="16" t="s">
        <v>79</v>
      </c>
      <c r="E60" s="16" t="s">
        <v>449</v>
      </c>
      <c r="F60" s="16" t="s">
        <v>871</v>
      </c>
      <c r="G60" s="16" t="s">
        <v>195</v>
      </c>
      <c r="H60" s="16"/>
      <c r="I60" s="16"/>
      <c r="J60" s="16" t="s">
        <v>437</v>
      </c>
      <c r="K60" s="16" t="s">
        <v>865</v>
      </c>
      <c r="L60" s="16" t="s">
        <v>885</v>
      </c>
      <c r="M60" s="20" t="str">
        <f>IFERROR(VLOOKUP(C60,'Scenario Register'!$A$9:$D$200,4,FALSE()),"")</f>
        <v>Field Operations</v>
      </c>
      <c r="N60" s="20" t="str">
        <f>IFERROR(VLOOKUP(C60,'Scenario Register'!$A$9:$C$200,3,FALSE()),"")</f>
        <v>Mobile Updates</v>
      </c>
    </row>
    <row r="61" spans="1:14" x14ac:dyDescent="0.25">
      <c r="A61" s="16" t="s">
        <v>939</v>
      </c>
      <c r="B61" s="17">
        <v>46091</v>
      </c>
      <c r="C61" s="16" t="s">
        <v>794</v>
      </c>
      <c r="D61" s="16" t="s">
        <v>487</v>
      </c>
      <c r="E61" s="16" t="s">
        <v>449</v>
      </c>
      <c r="F61" s="16" t="s">
        <v>871</v>
      </c>
      <c r="G61" s="16" t="s">
        <v>195</v>
      </c>
      <c r="H61" s="16"/>
      <c r="I61" s="16"/>
      <c r="J61" s="16" t="s">
        <v>437</v>
      </c>
      <c r="K61" s="16" t="s">
        <v>865</v>
      </c>
      <c r="L61" s="16"/>
      <c r="M61" s="20" t="str">
        <f>IFERROR(VLOOKUP(C61,'Scenario Register'!$A$9:$D$200,4,FALSE()),"")</f>
        <v>Field Operations</v>
      </c>
      <c r="N61" s="20" t="str">
        <f>IFERROR(VLOOKUP(C61,'Scenario Register'!$A$9:$C$200,3,FALSE()),"")</f>
        <v>Work Allocation</v>
      </c>
    </row>
    <row r="62" spans="1:14" x14ac:dyDescent="0.25">
      <c r="A62" s="16" t="s">
        <v>940</v>
      </c>
      <c r="B62" s="17">
        <v>46078</v>
      </c>
      <c r="C62" s="16" t="s">
        <v>851</v>
      </c>
      <c r="D62" s="16" t="s">
        <v>252</v>
      </c>
      <c r="E62" s="16" t="s">
        <v>449</v>
      </c>
      <c r="F62" s="16" t="s">
        <v>864</v>
      </c>
      <c r="G62" s="16" t="s">
        <v>196</v>
      </c>
      <c r="H62" s="16"/>
      <c r="I62" s="16"/>
      <c r="J62" s="16" t="s">
        <v>438</v>
      </c>
      <c r="K62" s="16" t="s">
        <v>232</v>
      </c>
      <c r="L62" s="16" t="s">
        <v>881</v>
      </c>
      <c r="M62" s="20" t="str">
        <f>IFERROR(VLOOKUP(C62,'Scenario Register'!$A$9:$D$200,4,FALSE()),"")</f>
        <v>Field Operations</v>
      </c>
      <c r="N62" s="20" t="str">
        <f>IFERROR(VLOOKUP(C62,'Scenario Register'!$A$9:$C$200,3,FALSE()),"")</f>
        <v>Visit Completion</v>
      </c>
    </row>
    <row r="63" spans="1:14" ht="25.5" x14ac:dyDescent="0.25">
      <c r="A63" s="16" t="s">
        <v>941</v>
      </c>
      <c r="B63" s="17">
        <v>46080</v>
      </c>
      <c r="C63" s="16" t="s">
        <v>802</v>
      </c>
      <c r="D63" s="16" t="s">
        <v>446</v>
      </c>
      <c r="E63" s="16" t="s">
        <v>449</v>
      </c>
      <c r="F63" s="16" t="s">
        <v>864</v>
      </c>
      <c r="G63" s="16" t="s">
        <v>196</v>
      </c>
      <c r="H63" s="16" t="s">
        <v>942</v>
      </c>
      <c r="I63" s="16"/>
      <c r="J63" s="16" t="s">
        <v>438</v>
      </c>
      <c r="K63" s="16" t="s">
        <v>103</v>
      </c>
      <c r="L63" s="16" t="s">
        <v>885</v>
      </c>
      <c r="M63" s="20" t="str">
        <f>IFERROR(VLOOKUP(C63,'Scenario Register'!$A$9:$D$200,4,FALSE()),"")</f>
        <v>Finance &amp; Billing</v>
      </c>
      <c r="N63" s="20" t="str">
        <f>IFERROR(VLOOKUP(C63,'Scenario Register'!$A$9:$C$200,3,FALSE()),"")</f>
        <v>Charges &amp; Payments</v>
      </c>
    </row>
    <row r="64" spans="1:14" x14ac:dyDescent="0.25">
      <c r="A64" s="16" t="s">
        <v>943</v>
      </c>
      <c r="B64" s="17">
        <v>46082</v>
      </c>
      <c r="C64" s="16" t="s">
        <v>794</v>
      </c>
      <c r="D64" s="16" t="s">
        <v>487</v>
      </c>
      <c r="E64" s="16" t="s">
        <v>449</v>
      </c>
      <c r="F64" s="16" t="s">
        <v>864</v>
      </c>
      <c r="G64" s="16" t="s">
        <v>195</v>
      </c>
      <c r="H64" s="16"/>
      <c r="I64" s="16"/>
      <c r="J64" s="16" t="s">
        <v>437</v>
      </c>
      <c r="K64" s="16" t="s">
        <v>865</v>
      </c>
      <c r="L64" s="16" t="s">
        <v>892</v>
      </c>
      <c r="M64" s="20" t="str">
        <f>IFERROR(VLOOKUP(C64,'Scenario Register'!$A$9:$D$200,4,FALSE()),"")</f>
        <v>Field Operations</v>
      </c>
      <c r="N64" s="20" t="str">
        <f>IFERROR(VLOOKUP(C64,'Scenario Register'!$A$9:$C$200,3,FALSE()),"")</f>
        <v>Work Allocation</v>
      </c>
    </row>
    <row r="65" spans="1:14" x14ac:dyDescent="0.25">
      <c r="A65" s="16" t="s">
        <v>944</v>
      </c>
      <c r="B65" s="17">
        <v>46088</v>
      </c>
      <c r="C65" s="16" t="s">
        <v>836</v>
      </c>
      <c r="D65" s="16" t="s">
        <v>456</v>
      </c>
      <c r="E65" s="16" t="s">
        <v>449</v>
      </c>
      <c r="F65" s="16" t="s">
        <v>871</v>
      </c>
      <c r="G65" s="16" t="s">
        <v>197</v>
      </c>
      <c r="H65" s="16" t="s">
        <v>874</v>
      </c>
      <c r="I65" s="16" t="s">
        <v>930</v>
      </c>
      <c r="J65" s="16" t="s">
        <v>438</v>
      </c>
      <c r="K65" s="16" t="s">
        <v>875</v>
      </c>
      <c r="L65" s="16" t="s">
        <v>881</v>
      </c>
      <c r="M65" s="20" t="str">
        <f>IFERROR(VLOOKUP(C65,'Scenario Register'!$A$9:$D$200,4,FALSE()),"")</f>
        <v>Field Operations</v>
      </c>
      <c r="N65" s="20" t="str">
        <f>IFERROR(VLOOKUP(C65,'Scenario Register'!$A$9:$C$200,3,FALSE()),"")</f>
        <v>Work Allocation</v>
      </c>
    </row>
    <row r="66" spans="1:14" x14ac:dyDescent="0.25">
      <c r="A66" s="16" t="s">
        <v>945</v>
      </c>
      <c r="B66" s="17">
        <v>46077</v>
      </c>
      <c r="C66" s="16" t="s">
        <v>832</v>
      </c>
      <c r="D66" s="16" t="s">
        <v>476</v>
      </c>
      <c r="E66" s="16" t="s">
        <v>449</v>
      </c>
      <c r="F66" s="16" t="s">
        <v>864</v>
      </c>
      <c r="G66" s="16" t="s">
        <v>195</v>
      </c>
      <c r="H66" s="16"/>
      <c r="I66" s="16"/>
      <c r="J66" s="16" t="s">
        <v>437</v>
      </c>
      <c r="K66" s="16" t="s">
        <v>865</v>
      </c>
      <c r="L66" s="16"/>
      <c r="M66" s="20" t="str">
        <f>IFERROR(VLOOKUP(C66,'Scenario Register'!$A$9:$D$200,4,FALSE()),"")</f>
        <v>Finance &amp; Billing</v>
      </c>
      <c r="N66" s="20" t="str">
        <f>IFERROR(VLOOKUP(C66,'Scenario Register'!$A$9:$C$200,3,FALSE()),"")</f>
        <v>Charges &amp; Payments</v>
      </c>
    </row>
    <row r="67" spans="1:14" ht="25.5" x14ac:dyDescent="0.25">
      <c r="A67" s="16" t="s">
        <v>946</v>
      </c>
      <c r="B67" s="17">
        <v>46083</v>
      </c>
      <c r="C67" s="16" t="s">
        <v>818</v>
      </c>
      <c r="D67" s="16" t="s">
        <v>446</v>
      </c>
      <c r="E67" s="16" t="s">
        <v>458</v>
      </c>
      <c r="F67" s="16" t="s">
        <v>864</v>
      </c>
      <c r="G67" s="16" t="s">
        <v>195</v>
      </c>
      <c r="H67" s="16"/>
      <c r="I67" s="16"/>
      <c r="J67" s="16" t="s">
        <v>437</v>
      </c>
      <c r="K67" s="16" t="s">
        <v>865</v>
      </c>
      <c r="L67" s="16" t="s">
        <v>881</v>
      </c>
      <c r="M67" s="20" t="str">
        <f>IFERROR(VLOOKUP(C67,'Scenario Register'!$A$9:$D$200,4,FALSE()),"")</f>
        <v>Reporting &amp; MI</v>
      </c>
      <c r="N67" s="20" t="str">
        <f>IFERROR(VLOOKUP(C67,'Scenario Register'!$A$9:$C$200,3,FALSE()),"")</f>
        <v>Dashboard Refresh</v>
      </c>
    </row>
    <row r="68" spans="1:14" ht="25.5" x14ac:dyDescent="0.25">
      <c r="A68" s="16" t="s">
        <v>947</v>
      </c>
      <c r="B68" s="17">
        <v>46090</v>
      </c>
      <c r="C68" s="16" t="s">
        <v>801</v>
      </c>
      <c r="D68" s="16" t="s">
        <v>484</v>
      </c>
      <c r="E68" s="16" t="s">
        <v>449</v>
      </c>
      <c r="F68" s="16" t="s">
        <v>871</v>
      </c>
      <c r="G68" s="16" t="s">
        <v>197</v>
      </c>
      <c r="H68" s="16" t="s">
        <v>948</v>
      </c>
      <c r="I68" s="16" t="s">
        <v>949</v>
      </c>
      <c r="J68" s="16" t="s">
        <v>438</v>
      </c>
      <c r="K68" s="16" t="s">
        <v>232</v>
      </c>
      <c r="L68" s="25" t="s">
        <v>867</v>
      </c>
      <c r="M68" s="20" t="str">
        <f>IFERROR(VLOOKUP(C68,'Scenario Register'!$A$9:$D$200,4,FALSE()),"")</f>
        <v>Field Operations</v>
      </c>
      <c r="N68" s="20" t="str">
        <f>IFERROR(VLOOKUP(C68,'Scenario Register'!$A$9:$C$200,3,FALSE()),"")</f>
        <v>Mobile Updates</v>
      </c>
    </row>
    <row r="69" spans="1:14" ht="25.5" x14ac:dyDescent="0.25">
      <c r="A69" s="16" t="s">
        <v>950</v>
      </c>
      <c r="B69" s="17">
        <v>46088</v>
      </c>
      <c r="C69" s="16" t="s">
        <v>808</v>
      </c>
      <c r="D69" s="16" t="s">
        <v>490</v>
      </c>
      <c r="E69" s="16" t="s">
        <v>458</v>
      </c>
      <c r="F69" s="16" t="s">
        <v>871</v>
      </c>
      <c r="G69" s="16" t="s">
        <v>195</v>
      </c>
      <c r="H69" s="16"/>
      <c r="I69" s="16"/>
      <c r="J69" s="16" t="s">
        <v>437</v>
      </c>
      <c r="K69" s="16" t="s">
        <v>865</v>
      </c>
      <c r="L69" s="16"/>
      <c r="M69" s="20" t="str">
        <f>IFERROR(VLOOKUP(C69,'Scenario Register'!$A$9:$D$200,4,FALSE()),"")</f>
        <v>Reporting &amp; MI</v>
      </c>
      <c r="N69" s="20" t="str">
        <f>IFERROR(VLOOKUP(C69,'Scenario Register'!$A$9:$C$200,3,FALSE()),"")</f>
        <v>Operational Reporting</v>
      </c>
    </row>
    <row r="70" spans="1:14" x14ac:dyDescent="0.25">
      <c r="A70" s="16" t="s">
        <v>951</v>
      </c>
      <c r="B70" s="17">
        <v>46091</v>
      </c>
      <c r="C70" s="16" t="s">
        <v>811</v>
      </c>
      <c r="D70" s="16" t="s">
        <v>460</v>
      </c>
      <c r="E70" s="16" t="s">
        <v>449</v>
      </c>
      <c r="F70" s="16" t="s">
        <v>871</v>
      </c>
      <c r="G70" s="16" t="s">
        <v>198</v>
      </c>
      <c r="H70" s="16"/>
      <c r="I70" s="16"/>
      <c r="J70" s="16" t="s">
        <v>437</v>
      </c>
      <c r="K70" s="16" t="s">
        <v>865</v>
      </c>
      <c r="L70" s="16"/>
      <c r="M70" s="20" t="str">
        <f>IFERROR(VLOOKUP(C70,'Scenario Register'!$A$9:$D$200,4,FALSE()),"")</f>
        <v>Field Operations</v>
      </c>
      <c r="N70" s="20" t="str">
        <f>IFERROR(VLOOKUP(C70,'Scenario Register'!$A$9:$C$200,3,FALSE()),"")</f>
        <v>Mobile Updates</v>
      </c>
    </row>
    <row r="71" spans="1:14" x14ac:dyDescent="0.25">
      <c r="A71" s="16" t="s">
        <v>952</v>
      </c>
      <c r="B71" s="17">
        <v>46085</v>
      </c>
      <c r="C71" s="16" t="s">
        <v>850</v>
      </c>
      <c r="D71" s="16" t="s">
        <v>252</v>
      </c>
      <c r="E71" s="16" t="s">
        <v>436</v>
      </c>
      <c r="F71" s="16" t="s">
        <v>871</v>
      </c>
      <c r="G71" s="16" t="s">
        <v>195</v>
      </c>
      <c r="H71" s="16"/>
      <c r="I71" s="16"/>
      <c r="J71" s="16" t="s">
        <v>437</v>
      </c>
      <c r="K71" s="16" t="s">
        <v>865</v>
      </c>
      <c r="L71" s="16"/>
      <c r="M71" s="20" t="str">
        <f>IFERROR(VLOOKUP(C71,'Scenario Register'!$A$9:$D$200,4,FALSE()),"")</f>
        <v>Case Management</v>
      </c>
      <c r="N71" s="20" t="str">
        <f>IFERROR(VLOOKUP(C71,'Scenario Register'!$A$9:$C$200,3,FALSE()),"")</f>
        <v>Case Creation</v>
      </c>
    </row>
    <row r="72" spans="1:14" x14ac:dyDescent="0.25">
      <c r="A72" s="16" t="s">
        <v>953</v>
      </c>
      <c r="B72" s="17">
        <v>46087</v>
      </c>
      <c r="C72" s="16" t="s">
        <v>849</v>
      </c>
      <c r="D72" s="16" t="s">
        <v>484</v>
      </c>
      <c r="E72" s="16" t="s">
        <v>436</v>
      </c>
      <c r="F72" s="16" t="s">
        <v>871</v>
      </c>
      <c r="G72" s="16" t="s">
        <v>196</v>
      </c>
      <c r="H72" s="16" t="s">
        <v>954</v>
      </c>
      <c r="I72" s="16"/>
      <c r="J72" s="16" t="s">
        <v>438</v>
      </c>
      <c r="K72" s="16" t="s">
        <v>232</v>
      </c>
      <c r="L72" s="16" t="s">
        <v>881</v>
      </c>
      <c r="M72" s="20" t="str">
        <f>IFERROR(VLOOKUP(C72,'Scenario Register'!$A$9:$D$200,4,FALSE()),"")</f>
        <v>Contact Centre</v>
      </c>
      <c r="N72" s="20" t="str">
        <f>IFERROR(VLOOKUP(C72,'Scenario Register'!$A$9:$C$200,3,FALSE()),"")</f>
        <v>Case Routing</v>
      </c>
    </row>
    <row r="73" spans="1:14" x14ac:dyDescent="0.25">
      <c r="A73" s="16" t="s">
        <v>955</v>
      </c>
      <c r="B73" s="17">
        <v>46085</v>
      </c>
      <c r="C73" s="16" t="s">
        <v>740</v>
      </c>
      <c r="D73" s="16" t="s">
        <v>476</v>
      </c>
      <c r="E73" s="16" t="s">
        <v>436</v>
      </c>
      <c r="F73" s="16" t="s">
        <v>871</v>
      </c>
      <c r="G73" s="16" t="s">
        <v>195</v>
      </c>
      <c r="H73" s="16"/>
      <c r="I73" s="16"/>
      <c r="J73" s="16" t="s">
        <v>437</v>
      </c>
      <c r="K73" s="16" t="s">
        <v>865</v>
      </c>
      <c r="L73" s="16" t="s">
        <v>872</v>
      </c>
      <c r="M73" s="20" t="str">
        <f>IFERROR(VLOOKUP(C73,'Scenario Register'!$A$9:$D$200,4,FALSE()),"")</f>
        <v>Contact Centre</v>
      </c>
      <c r="N73" s="20" t="str">
        <f>IFERROR(VLOOKUP(C73,'Scenario Register'!$A$9:$C$200,3,FALSE()),"")</f>
        <v>Case Intake</v>
      </c>
    </row>
    <row r="74" spans="1:14" x14ac:dyDescent="0.25">
      <c r="A74" s="16" t="s">
        <v>956</v>
      </c>
      <c r="B74" s="17">
        <v>46087</v>
      </c>
      <c r="C74" s="16" t="s">
        <v>846</v>
      </c>
      <c r="D74" s="16" t="s">
        <v>446</v>
      </c>
      <c r="E74" s="16" t="s">
        <v>449</v>
      </c>
      <c r="F74" s="16" t="s">
        <v>871</v>
      </c>
      <c r="G74" s="16" t="s">
        <v>195</v>
      </c>
      <c r="H74" s="16"/>
      <c r="I74" s="16"/>
      <c r="J74" s="16" t="s">
        <v>437</v>
      </c>
      <c r="K74" s="16" t="s">
        <v>865</v>
      </c>
      <c r="L74" s="16" t="s">
        <v>872</v>
      </c>
      <c r="M74" s="20" t="str">
        <f>IFERROR(VLOOKUP(C74,'Scenario Register'!$A$9:$D$200,4,FALSE()),"")</f>
        <v>Field Operations</v>
      </c>
      <c r="N74" s="20" t="str">
        <f>IFERROR(VLOOKUP(C74,'Scenario Register'!$A$9:$C$200,3,FALSE()),"")</f>
        <v>Appointment Booking</v>
      </c>
    </row>
    <row r="75" spans="1:14" ht="25.5" x14ac:dyDescent="0.25">
      <c r="A75" s="16" t="s">
        <v>957</v>
      </c>
      <c r="B75" s="17">
        <v>46077</v>
      </c>
      <c r="C75" s="16" t="s">
        <v>803</v>
      </c>
      <c r="D75" s="16" t="s">
        <v>456</v>
      </c>
      <c r="E75" s="16" t="s">
        <v>458</v>
      </c>
      <c r="F75" s="16" t="s">
        <v>864</v>
      </c>
      <c r="G75" s="16" t="s">
        <v>195</v>
      </c>
      <c r="H75" s="16"/>
      <c r="I75" s="16"/>
      <c r="J75" s="16" t="s">
        <v>437</v>
      </c>
      <c r="K75" s="16" t="s">
        <v>865</v>
      </c>
      <c r="L75" s="16"/>
      <c r="M75" s="20" t="str">
        <f>IFERROR(VLOOKUP(C75,'Scenario Register'!$A$9:$D$200,4,FALSE()),"")</f>
        <v>Reporting &amp; MI</v>
      </c>
      <c r="N75" s="20" t="str">
        <f>IFERROR(VLOOKUP(C75,'Scenario Register'!$A$9:$C$200,3,FALSE()),"")</f>
        <v>Regulatory Reporting</v>
      </c>
    </row>
    <row r="76" spans="1:14" x14ac:dyDescent="0.25">
      <c r="A76" s="16" t="s">
        <v>958</v>
      </c>
      <c r="B76" s="17">
        <v>46090</v>
      </c>
      <c r="C76" s="16" t="s">
        <v>740</v>
      </c>
      <c r="D76" s="16" t="s">
        <v>476</v>
      </c>
      <c r="E76" s="16" t="s">
        <v>436</v>
      </c>
      <c r="F76" s="16" t="s">
        <v>871</v>
      </c>
      <c r="G76" s="16" t="s">
        <v>195</v>
      </c>
      <c r="H76" s="16"/>
      <c r="I76" s="16"/>
      <c r="J76" s="16" t="s">
        <v>437</v>
      </c>
      <c r="K76" s="16" t="s">
        <v>865</v>
      </c>
      <c r="L76" s="16"/>
      <c r="M76" s="20" t="str">
        <f>IFERROR(VLOOKUP(C76,'Scenario Register'!$A$9:$D$200,4,FALSE()),"")</f>
        <v>Contact Centre</v>
      </c>
      <c r="N76" s="20" t="str">
        <f>IFERROR(VLOOKUP(C76,'Scenario Register'!$A$9:$C$200,3,FALSE()),"")</f>
        <v>Case Intake</v>
      </c>
    </row>
    <row r="77" spans="1:14" ht="25.5" x14ac:dyDescent="0.25">
      <c r="A77" s="16" t="s">
        <v>959</v>
      </c>
      <c r="B77" s="17">
        <v>46091</v>
      </c>
      <c r="C77" s="16" t="s">
        <v>779</v>
      </c>
      <c r="D77" s="16" t="s">
        <v>252</v>
      </c>
      <c r="E77" s="16" t="s">
        <v>458</v>
      </c>
      <c r="F77" s="16" t="s">
        <v>871</v>
      </c>
      <c r="G77" s="16" t="s">
        <v>195</v>
      </c>
      <c r="H77" s="16"/>
      <c r="I77" s="16"/>
      <c r="J77" s="16" t="s">
        <v>437</v>
      </c>
      <c r="K77" s="16" t="s">
        <v>865</v>
      </c>
      <c r="L77" s="16" t="s">
        <v>881</v>
      </c>
      <c r="M77" s="20" t="str">
        <f>IFERROR(VLOOKUP(C77,'Scenario Register'!$A$9:$D$200,4,FALSE()),"")</f>
        <v>Reporting &amp; MI</v>
      </c>
      <c r="N77" s="20" t="str">
        <f>IFERROR(VLOOKUP(C77,'Scenario Register'!$A$9:$C$200,3,FALSE()),"")</f>
        <v>Dashboard Refresh</v>
      </c>
    </row>
    <row r="78" spans="1:14" ht="25.5" x14ac:dyDescent="0.25">
      <c r="A78" s="16" t="s">
        <v>960</v>
      </c>
      <c r="B78" s="17">
        <v>46081</v>
      </c>
      <c r="C78" s="16" t="s">
        <v>821</v>
      </c>
      <c r="D78" s="16" t="s">
        <v>484</v>
      </c>
      <c r="E78" s="16" t="s">
        <v>449</v>
      </c>
      <c r="F78" s="16" t="s">
        <v>864</v>
      </c>
      <c r="G78" s="16" t="s">
        <v>197</v>
      </c>
      <c r="H78" s="16"/>
      <c r="I78" s="16" t="s">
        <v>927</v>
      </c>
      <c r="J78" s="16" t="s">
        <v>438</v>
      </c>
      <c r="K78" s="16" t="s">
        <v>875</v>
      </c>
      <c r="L78" s="25" t="s">
        <v>867</v>
      </c>
      <c r="M78" s="20" t="str">
        <f>IFERROR(VLOOKUP(C78,'Scenario Register'!$A$9:$D$200,4,FALSE()),"")</f>
        <v>Field Operations</v>
      </c>
      <c r="N78" s="20" t="str">
        <f>IFERROR(VLOOKUP(C78,'Scenario Register'!$A$9:$C$200,3,FALSE()),"")</f>
        <v>Visit Completion</v>
      </c>
    </row>
    <row r="79" spans="1:14" ht="25.5" x14ac:dyDescent="0.25">
      <c r="A79" s="16" t="s">
        <v>961</v>
      </c>
      <c r="B79" s="17">
        <v>46080</v>
      </c>
      <c r="C79" s="16" t="s">
        <v>808</v>
      </c>
      <c r="D79" s="16" t="s">
        <v>490</v>
      </c>
      <c r="E79" s="16" t="s">
        <v>458</v>
      </c>
      <c r="F79" s="16" t="s">
        <v>864</v>
      </c>
      <c r="G79" s="16" t="s">
        <v>195</v>
      </c>
      <c r="H79" s="16"/>
      <c r="I79" s="16"/>
      <c r="J79" s="16" t="s">
        <v>437</v>
      </c>
      <c r="K79" s="16" t="s">
        <v>865</v>
      </c>
      <c r="L79" s="16" t="s">
        <v>892</v>
      </c>
      <c r="M79" s="20" t="str">
        <f>IFERROR(VLOOKUP(C79,'Scenario Register'!$A$9:$D$200,4,FALSE()),"")</f>
        <v>Reporting &amp; MI</v>
      </c>
      <c r="N79" s="20" t="str">
        <f>IFERROR(VLOOKUP(C79,'Scenario Register'!$A$9:$C$200,3,FALSE()),"")</f>
        <v>Operational Reporting</v>
      </c>
    </row>
    <row r="80" spans="1:14" x14ac:dyDescent="0.25">
      <c r="A80" s="16" t="s">
        <v>962</v>
      </c>
      <c r="B80" s="17">
        <v>46090</v>
      </c>
      <c r="C80" s="16" t="s">
        <v>824</v>
      </c>
      <c r="D80" s="16" t="s">
        <v>484</v>
      </c>
      <c r="E80" s="16" t="s">
        <v>436</v>
      </c>
      <c r="F80" s="16" t="s">
        <v>871</v>
      </c>
      <c r="G80" s="16" t="s">
        <v>196</v>
      </c>
      <c r="H80" s="16" t="s">
        <v>963</v>
      </c>
      <c r="I80" s="16"/>
      <c r="J80" s="16" t="s">
        <v>438</v>
      </c>
      <c r="K80" s="16" t="s">
        <v>103</v>
      </c>
      <c r="L80" s="16" t="s">
        <v>892</v>
      </c>
      <c r="M80" s="20" t="str">
        <f>IFERROR(VLOOKUP(C80,'Scenario Register'!$A$9:$D$200,4,FALSE()),"")</f>
        <v>Contact Centre</v>
      </c>
      <c r="N80" s="20" t="str">
        <f>IFERROR(VLOOKUP(C80,'Scenario Register'!$A$9:$C$200,3,FALSE()),"")</f>
        <v>Case Intake</v>
      </c>
    </row>
    <row r="81" spans="1:14" ht="25.5" x14ac:dyDescent="0.25">
      <c r="A81" s="16" t="s">
        <v>964</v>
      </c>
      <c r="B81" s="17">
        <v>46088</v>
      </c>
      <c r="C81" s="16" t="s">
        <v>823</v>
      </c>
      <c r="D81" s="16" t="s">
        <v>79</v>
      </c>
      <c r="E81" s="16" t="s">
        <v>458</v>
      </c>
      <c r="F81" s="16" t="s">
        <v>871</v>
      </c>
      <c r="G81" s="16" t="s">
        <v>196</v>
      </c>
      <c r="H81" s="16" t="s">
        <v>965</v>
      </c>
      <c r="I81" s="16"/>
      <c r="J81" s="16" t="s">
        <v>438</v>
      </c>
      <c r="K81" s="16" t="s">
        <v>232</v>
      </c>
      <c r="L81" s="16"/>
      <c r="M81" s="20" t="str">
        <f>IFERROR(VLOOKUP(C81,'Scenario Register'!$A$9:$D$200,4,FALSE()),"")</f>
        <v>Reporting &amp; MI</v>
      </c>
      <c r="N81" s="20" t="str">
        <f>IFERROR(VLOOKUP(C81,'Scenario Register'!$A$9:$C$200,3,FALSE()),"")</f>
        <v>Data Reconciliation</v>
      </c>
    </row>
    <row r="82" spans="1:14" x14ac:dyDescent="0.25">
      <c r="A82" s="16" t="s">
        <v>966</v>
      </c>
      <c r="B82" s="17">
        <v>46090</v>
      </c>
      <c r="C82" s="16" t="s">
        <v>817</v>
      </c>
      <c r="D82" s="16" t="s">
        <v>243</v>
      </c>
      <c r="E82" s="16" t="s">
        <v>449</v>
      </c>
      <c r="F82" s="16" t="s">
        <v>871</v>
      </c>
      <c r="G82" s="16" t="s">
        <v>198</v>
      </c>
      <c r="H82" s="16"/>
      <c r="I82" s="16"/>
      <c r="J82" s="16" t="s">
        <v>437</v>
      </c>
      <c r="K82" s="16" t="s">
        <v>865</v>
      </c>
      <c r="L82" s="16"/>
      <c r="M82" s="20" t="str">
        <f>IFERROR(VLOOKUP(C82,'Scenario Register'!$A$9:$D$200,4,FALSE()),"")</f>
        <v>Finance &amp; Billing</v>
      </c>
      <c r="N82" s="20" t="str">
        <f>IFERROR(VLOOKUP(C82,'Scenario Register'!$A$9:$C$200,3,FALSE()),"")</f>
        <v>Adjustments</v>
      </c>
    </row>
    <row r="83" spans="1:14" x14ac:dyDescent="0.25">
      <c r="A83" s="16" t="s">
        <v>967</v>
      </c>
      <c r="B83" s="17">
        <v>46091</v>
      </c>
      <c r="C83" s="16" t="s">
        <v>785</v>
      </c>
      <c r="D83" s="16" t="s">
        <v>81</v>
      </c>
      <c r="E83" s="16" t="s">
        <v>449</v>
      </c>
      <c r="F83" s="16" t="s">
        <v>871</v>
      </c>
      <c r="G83" s="16" t="s">
        <v>198</v>
      </c>
      <c r="H83" s="16"/>
      <c r="I83" s="16"/>
      <c r="J83" s="16" t="s">
        <v>437</v>
      </c>
      <c r="K83" s="16" t="s">
        <v>865</v>
      </c>
      <c r="L83" s="16" t="s">
        <v>892</v>
      </c>
      <c r="M83" s="20" t="str">
        <f>IFERROR(VLOOKUP(C83,'Scenario Register'!$A$9:$D$200,4,FALSE()),"")</f>
        <v>Field Operations</v>
      </c>
      <c r="N83" s="20" t="str">
        <f>IFERROR(VLOOKUP(C83,'Scenario Register'!$A$9:$C$200,3,FALSE()),"")</f>
        <v>Visit Completion</v>
      </c>
    </row>
    <row r="84" spans="1:14" x14ac:dyDescent="0.25">
      <c r="A84" s="16" t="s">
        <v>968</v>
      </c>
      <c r="B84" s="17">
        <v>46087</v>
      </c>
      <c r="C84" s="16" t="s">
        <v>847</v>
      </c>
      <c r="D84" s="16" t="s">
        <v>269</v>
      </c>
      <c r="E84" s="16" t="s">
        <v>449</v>
      </c>
      <c r="F84" s="16" t="s">
        <v>871</v>
      </c>
      <c r="G84" s="16" t="s">
        <v>198</v>
      </c>
      <c r="H84" s="16"/>
      <c r="I84" s="16"/>
      <c r="J84" s="16" t="s">
        <v>437</v>
      </c>
      <c r="K84" s="16" t="s">
        <v>865</v>
      </c>
      <c r="L84" s="16"/>
      <c r="M84" s="20" t="str">
        <f>IFERROR(VLOOKUP(C84,'Scenario Register'!$A$9:$D$200,4,FALSE()),"")</f>
        <v>Finance &amp; Billing</v>
      </c>
      <c r="N84" s="20" t="str">
        <f>IFERROR(VLOOKUP(C84,'Scenario Register'!$A$9:$C$200,3,FALSE()),"")</f>
        <v>Adjustments</v>
      </c>
    </row>
    <row r="85" spans="1:14" x14ac:dyDescent="0.25">
      <c r="A85" s="16" t="s">
        <v>969</v>
      </c>
      <c r="B85" s="17">
        <v>46077</v>
      </c>
      <c r="C85" s="16" t="s">
        <v>817</v>
      </c>
      <c r="D85" s="16" t="s">
        <v>243</v>
      </c>
      <c r="E85" s="16" t="s">
        <v>449</v>
      </c>
      <c r="F85" s="16" t="s">
        <v>864</v>
      </c>
      <c r="G85" s="16" t="s">
        <v>195</v>
      </c>
      <c r="H85" s="16"/>
      <c r="I85" s="16"/>
      <c r="J85" s="16" t="s">
        <v>437</v>
      </c>
      <c r="K85" s="16" t="s">
        <v>865</v>
      </c>
      <c r="L85" s="16" t="s">
        <v>881</v>
      </c>
      <c r="M85" s="20" t="str">
        <f>IFERROR(VLOOKUP(C85,'Scenario Register'!$A$9:$D$200,4,FALSE()),"")</f>
        <v>Finance &amp; Billing</v>
      </c>
      <c r="N85" s="20" t="str">
        <f>IFERROR(VLOOKUP(C85,'Scenario Register'!$A$9:$C$200,3,FALSE()),"")</f>
        <v>Adjustments</v>
      </c>
    </row>
    <row r="86" spans="1:14" x14ac:dyDescent="0.25">
      <c r="A86" s="16" t="s">
        <v>970</v>
      </c>
      <c r="B86" s="17">
        <v>46089</v>
      </c>
      <c r="C86" s="16" t="s">
        <v>819</v>
      </c>
      <c r="D86" s="16" t="s">
        <v>252</v>
      </c>
      <c r="E86" s="16" t="s">
        <v>436</v>
      </c>
      <c r="F86" s="16" t="s">
        <v>871</v>
      </c>
      <c r="G86" s="16" t="s">
        <v>197</v>
      </c>
      <c r="H86" s="16" t="s">
        <v>971</v>
      </c>
      <c r="I86" s="16" t="s">
        <v>902</v>
      </c>
      <c r="J86" s="16" t="s">
        <v>438</v>
      </c>
      <c r="K86" s="16" t="s">
        <v>232</v>
      </c>
      <c r="L86" s="16"/>
      <c r="M86" s="20" t="str">
        <f>IFERROR(VLOOKUP(C86,'Scenario Register'!$A$9:$D$200,4,FALSE()),"")</f>
        <v>Contact Centre</v>
      </c>
      <c r="N86" s="20" t="str">
        <f>IFERROR(VLOOKUP(C86,'Scenario Register'!$A$9:$C$200,3,FALSE()),"")</f>
        <v>Case Routing</v>
      </c>
    </row>
    <row r="87" spans="1:14" x14ac:dyDescent="0.25">
      <c r="A87" s="16" t="s">
        <v>972</v>
      </c>
      <c r="B87" s="17">
        <v>46091</v>
      </c>
      <c r="C87" s="16" t="s">
        <v>802</v>
      </c>
      <c r="D87" s="16" t="s">
        <v>446</v>
      </c>
      <c r="E87" s="16" t="s">
        <v>449</v>
      </c>
      <c r="F87" s="16" t="s">
        <v>871</v>
      </c>
      <c r="G87" s="16" t="s">
        <v>195</v>
      </c>
      <c r="H87" s="16"/>
      <c r="I87" s="16"/>
      <c r="J87" s="16" t="s">
        <v>437</v>
      </c>
      <c r="K87" s="16" t="s">
        <v>865</v>
      </c>
      <c r="L87" s="16"/>
      <c r="M87" s="20" t="str">
        <f>IFERROR(VLOOKUP(C87,'Scenario Register'!$A$9:$D$200,4,FALSE()),"")</f>
        <v>Finance &amp; Billing</v>
      </c>
      <c r="N87" s="20" t="str">
        <f>IFERROR(VLOOKUP(C87,'Scenario Register'!$A$9:$C$200,3,FALSE()),"")</f>
        <v>Charges &amp; Payments</v>
      </c>
    </row>
    <row r="88" spans="1:14" x14ac:dyDescent="0.25">
      <c r="A88" s="16" t="s">
        <v>973</v>
      </c>
      <c r="B88" s="17">
        <v>46088</v>
      </c>
      <c r="C88" s="16" t="s">
        <v>835</v>
      </c>
      <c r="D88" s="16" t="s">
        <v>269</v>
      </c>
      <c r="E88" s="16" t="s">
        <v>436</v>
      </c>
      <c r="F88" s="16" t="s">
        <v>871</v>
      </c>
      <c r="G88" s="16" t="s">
        <v>195</v>
      </c>
      <c r="H88" s="16"/>
      <c r="I88" s="16"/>
      <c r="J88" s="16" t="s">
        <v>437</v>
      </c>
      <c r="K88" s="16" t="s">
        <v>865</v>
      </c>
      <c r="L88" s="16"/>
      <c r="M88" s="20" t="str">
        <f>IFERROR(VLOOKUP(C88,'Scenario Register'!$A$9:$D$200,4,FALSE()),"")</f>
        <v>Case Management</v>
      </c>
      <c r="N88" s="20" t="str">
        <f>IFERROR(VLOOKUP(C88,'Scenario Register'!$A$9:$C$200,3,FALSE()),"")</f>
        <v>Case Update</v>
      </c>
    </row>
    <row r="89" spans="1:14" ht="25.5" x14ac:dyDescent="0.25">
      <c r="A89" s="16" t="s">
        <v>974</v>
      </c>
      <c r="B89" s="17">
        <v>46083</v>
      </c>
      <c r="C89" s="16" t="s">
        <v>755</v>
      </c>
      <c r="D89" s="16" t="s">
        <v>487</v>
      </c>
      <c r="E89" s="16" t="s">
        <v>458</v>
      </c>
      <c r="F89" s="16" t="s">
        <v>864</v>
      </c>
      <c r="G89" s="16" t="s">
        <v>195</v>
      </c>
      <c r="H89" s="16"/>
      <c r="I89" s="16"/>
      <c r="J89" s="16" t="s">
        <v>437</v>
      </c>
      <c r="K89" s="16" t="s">
        <v>865</v>
      </c>
      <c r="L89" s="16" t="s">
        <v>872</v>
      </c>
      <c r="M89" s="20" t="str">
        <f>IFERROR(VLOOKUP(C89,'Scenario Register'!$A$9:$D$200,4,FALSE()),"")</f>
        <v>Reporting &amp; MI</v>
      </c>
      <c r="N89" s="20" t="str">
        <f>IFERROR(VLOOKUP(C89,'Scenario Register'!$A$9:$C$200,3,FALSE()),"")</f>
        <v>Operational Reporting</v>
      </c>
    </row>
    <row r="90" spans="1:14" ht="25.5" x14ac:dyDescent="0.25">
      <c r="A90" s="16" t="s">
        <v>975</v>
      </c>
      <c r="B90" s="17">
        <v>46086</v>
      </c>
      <c r="C90" s="16" t="s">
        <v>833</v>
      </c>
      <c r="D90" s="16" t="s">
        <v>252</v>
      </c>
      <c r="E90" s="16" t="s">
        <v>458</v>
      </c>
      <c r="F90" s="16" t="s">
        <v>871</v>
      </c>
      <c r="G90" s="16" t="s">
        <v>195</v>
      </c>
      <c r="H90" s="16"/>
      <c r="I90" s="16"/>
      <c r="J90" s="16" t="s">
        <v>437</v>
      </c>
      <c r="K90" s="16" t="s">
        <v>865</v>
      </c>
      <c r="L90" s="16" t="s">
        <v>885</v>
      </c>
      <c r="M90" s="20" t="str">
        <f>IFERROR(VLOOKUP(C90,'Scenario Register'!$A$9:$D$200,4,FALSE()),"")</f>
        <v>Reporting &amp; MI</v>
      </c>
      <c r="N90" s="20" t="str">
        <f>IFERROR(VLOOKUP(C90,'Scenario Register'!$A$9:$C$200,3,FALSE()),"")</f>
        <v>Regulatory Reporting</v>
      </c>
    </row>
    <row r="91" spans="1:14" ht="25.5" x14ac:dyDescent="0.25">
      <c r="A91" s="16" t="s">
        <v>976</v>
      </c>
      <c r="B91" s="17">
        <v>46084</v>
      </c>
      <c r="C91" s="16" t="s">
        <v>834</v>
      </c>
      <c r="D91" s="16" t="s">
        <v>484</v>
      </c>
      <c r="E91" s="16" t="s">
        <v>436</v>
      </c>
      <c r="F91" s="16" t="s">
        <v>864</v>
      </c>
      <c r="G91" s="16" t="s">
        <v>195</v>
      </c>
      <c r="H91" s="16"/>
      <c r="I91" s="16"/>
      <c r="J91" s="16" t="s">
        <v>437</v>
      </c>
      <c r="K91" s="16" t="s">
        <v>865</v>
      </c>
      <c r="L91" s="25" t="s">
        <v>867</v>
      </c>
      <c r="M91" s="20" t="str">
        <f>IFERROR(VLOOKUP(C91,'Scenario Register'!$A$9:$D$200,4,FALSE()),"")</f>
        <v>Contact Centre</v>
      </c>
      <c r="N91" s="20" t="str">
        <f>IFERROR(VLOOKUP(C91,'Scenario Register'!$A$9:$C$200,3,FALSE()),"")</f>
        <v>Case Intake</v>
      </c>
    </row>
    <row r="92" spans="1:14" x14ac:dyDescent="0.25">
      <c r="A92" s="16" t="s">
        <v>977</v>
      </c>
      <c r="B92" s="17">
        <v>46087</v>
      </c>
      <c r="C92" s="16" t="s">
        <v>805</v>
      </c>
      <c r="D92" s="16" t="s">
        <v>81</v>
      </c>
      <c r="E92" s="16" t="s">
        <v>436</v>
      </c>
      <c r="F92" s="16" t="s">
        <v>871</v>
      </c>
      <c r="G92" s="16" t="s">
        <v>195</v>
      </c>
      <c r="H92" s="16"/>
      <c r="I92" s="16"/>
      <c r="J92" s="16" t="s">
        <v>437</v>
      </c>
      <c r="K92" s="16" t="s">
        <v>865</v>
      </c>
      <c r="L92" s="16"/>
      <c r="M92" s="20" t="str">
        <f>IFERROR(VLOOKUP(C92,'Scenario Register'!$A$9:$D$200,4,FALSE()),"")</f>
        <v>Case Management</v>
      </c>
      <c r="N92" s="20" t="str">
        <f>IFERROR(VLOOKUP(C92,'Scenario Register'!$A$9:$C$200,3,FALSE()),"")</f>
        <v>Case Update</v>
      </c>
    </row>
    <row r="93" spans="1:14" x14ac:dyDescent="0.25">
      <c r="A93" s="16" t="s">
        <v>978</v>
      </c>
      <c r="B93" s="17">
        <v>46080</v>
      </c>
      <c r="C93" s="16" t="s">
        <v>793</v>
      </c>
      <c r="D93" s="16" t="s">
        <v>456</v>
      </c>
      <c r="E93" s="16" t="s">
        <v>436</v>
      </c>
      <c r="F93" s="16" t="s">
        <v>864</v>
      </c>
      <c r="G93" s="16" t="s">
        <v>195</v>
      </c>
      <c r="H93" s="16"/>
      <c r="I93" s="16"/>
      <c r="J93" s="16" t="s">
        <v>437</v>
      </c>
      <c r="K93" s="16" t="s">
        <v>865</v>
      </c>
      <c r="L93" s="16" t="s">
        <v>881</v>
      </c>
      <c r="M93" s="20" t="str">
        <f>IFERROR(VLOOKUP(C93,'Scenario Register'!$A$9:$D$200,4,FALSE()),"")</f>
        <v>Case Management</v>
      </c>
      <c r="N93" s="20" t="str">
        <f>IFERROR(VLOOKUP(C93,'Scenario Register'!$A$9:$C$200,3,FALSE()),"")</f>
        <v>Case Update</v>
      </c>
    </row>
    <row r="94" spans="1:14" ht="25.5" x14ac:dyDescent="0.25">
      <c r="A94" s="16" t="s">
        <v>979</v>
      </c>
      <c r="B94" s="17">
        <v>46082</v>
      </c>
      <c r="C94" s="16" t="s">
        <v>832</v>
      </c>
      <c r="D94" s="16" t="s">
        <v>476</v>
      </c>
      <c r="E94" s="16" t="s">
        <v>449</v>
      </c>
      <c r="F94" s="16" t="s">
        <v>864</v>
      </c>
      <c r="G94" s="16" t="s">
        <v>195</v>
      </c>
      <c r="H94" s="16"/>
      <c r="I94" s="16"/>
      <c r="J94" s="16" t="s">
        <v>437</v>
      </c>
      <c r="K94" s="16" t="s">
        <v>865</v>
      </c>
      <c r="L94" s="16" t="s">
        <v>885</v>
      </c>
      <c r="M94" s="20" t="str">
        <f>IFERROR(VLOOKUP(C94,'Scenario Register'!$A$9:$D$200,4,FALSE()),"")</f>
        <v>Finance &amp; Billing</v>
      </c>
      <c r="N94" s="20" t="str">
        <f>IFERROR(VLOOKUP(C94,'Scenario Register'!$A$9:$C$200,3,FALSE()),"")</f>
        <v>Charges &amp; Payments</v>
      </c>
    </row>
    <row r="95" spans="1:14" x14ac:dyDescent="0.25">
      <c r="A95" s="16" t="s">
        <v>980</v>
      </c>
      <c r="B95" s="17">
        <v>46089</v>
      </c>
      <c r="C95" s="16" t="s">
        <v>806</v>
      </c>
      <c r="D95" s="16" t="s">
        <v>481</v>
      </c>
      <c r="E95" s="16" t="s">
        <v>449</v>
      </c>
      <c r="F95" s="16" t="s">
        <v>871</v>
      </c>
      <c r="G95" s="16" t="s">
        <v>195</v>
      </c>
      <c r="H95" s="16"/>
      <c r="I95" s="16"/>
      <c r="J95" s="16" t="s">
        <v>437</v>
      </c>
      <c r="K95" s="16" t="s">
        <v>865</v>
      </c>
      <c r="L95" s="16" t="s">
        <v>881</v>
      </c>
      <c r="M95" s="20" t="str">
        <f>IFERROR(VLOOKUP(C95,'Scenario Register'!$A$9:$D$200,4,FALSE()),"")</f>
        <v>Field Operations</v>
      </c>
      <c r="N95" s="20" t="str">
        <f>IFERROR(VLOOKUP(C95,'Scenario Register'!$A$9:$C$200,3,FALSE()),"")</f>
        <v>Work Allocation</v>
      </c>
    </row>
    <row r="96" spans="1:14" ht="25.5" x14ac:dyDescent="0.25">
      <c r="A96" s="16" t="s">
        <v>981</v>
      </c>
      <c r="B96" s="17">
        <v>46085</v>
      </c>
      <c r="C96" s="16" t="s">
        <v>805</v>
      </c>
      <c r="D96" s="16" t="s">
        <v>81</v>
      </c>
      <c r="E96" s="16" t="s">
        <v>436</v>
      </c>
      <c r="F96" s="16" t="s">
        <v>871</v>
      </c>
      <c r="G96" s="16" t="s">
        <v>195</v>
      </c>
      <c r="H96" s="16"/>
      <c r="I96" s="16"/>
      <c r="J96" s="16" t="s">
        <v>437</v>
      </c>
      <c r="K96" s="16" t="s">
        <v>865</v>
      </c>
      <c r="L96" s="16" t="s">
        <v>885</v>
      </c>
      <c r="M96" s="20" t="str">
        <f>IFERROR(VLOOKUP(C96,'Scenario Register'!$A$9:$D$200,4,FALSE()),"")</f>
        <v>Case Management</v>
      </c>
      <c r="N96" s="20" t="str">
        <f>IFERROR(VLOOKUP(C96,'Scenario Register'!$A$9:$C$200,3,FALSE()),"")</f>
        <v>Case Update</v>
      </c>
    </row>
    <row r="97" spans="1:14" ht="25.5" x14ac:dyDescent="0.25">
      <c r="A97" s="16" t="s">
        <v>982</v>
      </c>
      <c r="B97" s="17">
        <v>46086</v>
      </c>
      <c r="C97" s="16" t="s">
        <v>816</v>
      </c>
      <c r="D97" s="16" t="s">
        <v>79</v>
      </c>
      <c r="E97" s="16" t="s">
        <v>449</v>
      </c>
      <c r="F97" s="16" t="s">
        <v>871</v>
      </c>
      <c r="G97" s="16" t="s">
        <v>195</v>
      </c>
      <c r="H97" s="16"/>
      <c r="I97" s="16"/>
      <c r="J97" s="16" t="s">
        <v>437</v>
      </c>
      <c r="K97" s="16" t="s">
        <v>865</v>
      </c>
      <c r="L97" s="16" t="s">
        <v>885</v>
      </c>
      <c r="M97" s="20" t="str">
        <f>IFERROR(VLOOKUP(C97,'Scenario Register'!$A$9:$D$200,4,FALSE()),"")</f>
        <v>Field Operations</v>
      </c>
      <c r="N97" s="20" t="str">
        <f>IFERROR(VLOOKUP(C97,'Scenario Register'!$A$9:$C$200,3,FALSE()),"")</f>
        <v>Appointment Booking</v>
      </c>
    </row>
    <row r="98" spans="1:14" ht="25.5" x14ac:dyDescent="0.25">
      <c r="A98" s="16" t="s">
        <v>983</v>
      </c>
      <c r="B98" s="17">
        <v>46089</v>
      </c>
      <c r="C98" s="16" t="s">
        <v>803</v>
      </c>
      <c r="D98" s="16" t="s">
        <v>456</v>
      </c>
      <c r="E98" s="16" t="s">
        <v>458</v>
      </c>
      <c r="F98" s="16" t="s">
        <v>871</v>
      </c>
      <c r="G98" s="16" t="s">
        <v>195</v>
      </c>
      <c r="H98" s="16"/>
      <c r="I98" s="16"/>
      <c r="J98" s="16" t="s">
        <v>437</v>
      </c>
      <c r="K98" s="16" t="s">
        <v>865</v>
      </c>
      <c r="L98" s="16"/>
      <c r="M98" s="20" t="str">
        <f>IFERROR(VLOOKUP(C98,'Scenario Register'!$A$9:$D$200,4,FALSE()),"")</f>
        <v>Reporting &amp; MI</v>
      </c>
      <c r="N98" s="20" t="str">
        <f>IFERROR(VLOOKUP(C98,'Scenario Register'!$A$9:$C$200,3,FALSE()),"")</f>
        <v>Regulatory Reporting</v>
      </c>
    </row>
    <row r="99" spans="1:14" ht="25.5" x14ac:dyDescent="0.25">
      <c r="A99" s="16" t="s">
        <v>984</v>
      </c>
      <c r="B99" s="17">
        <v>46086</v>
      </c>
      <c r="C99" s="16" t="s">
        <v>852</v>
      </c>
      <c r="D99" s="16" t="s">
        <v>79</v>
      </c>
      <c r="E99" s="16" t="s">
        <v>449</v>
      </c>
      <c r="F99" s="16" t="s">
        <v>871</v>
      </c>
      <c r="G99" s="16" t="s">
        <v>196</v>
      </c>
      <c r="H99" s="16" t="s">
        <v>913</v>
      </c>
      <c r="I99" s="16"/>
      <c r="J99" s="16" t="s">
        <v>438</v>
      </c>
      <c r="K99" s="16" t="s">
        <v>875</v>
      </c>
      <c r="L99" s="16" t="s">
        <v>885</v>
      </c>
      <c r="M99" s="20" t="str">
        <f>IFERROR(VLOOKUP(C99,'Scenario Register'!$A$9:$D$200,4,FALSE()),"")</f>
        <v>Finance &amp; Billing</v>
      </c>
      <c r="N99" s="20" t="str">
        <f>IFERROR(VLOOKUP(C99,'Scenario Register'!$A$9:$C$200,3,FALSE()),"")</f>
        <v>Refunds</v>
      </c>
    </row>
    <row r="100" spans="1:14" ht="25.5" x14ac:dyDescent="0.25">
      <c r="A100" s="16" t="s">
        <v>985</v>
      </c>
      <c r="B100" s="17">
        <v>46078</v>
      </c>
      <c r="C100" s="16" t="s">
        <v>811</v>
      </c>
      <c r="D100" s="16" t="s">
        <v>460</v>
      </c>
      <c r="E100" s="16" t="s">
        <v>449</v>
      </c>
      <c r="F100" s="16" t="s">
        <v>864</v>
      </c>
      <c r="G100" s="16" t="s">
        <v>195</v>
      </c>
      <c r="H100" s="16"/>
      <c r="I100" s="16"/>
      <c r="J100" s="16" t="s">
        <v>437</v>
      </c>
      <c r="K100" s="16" t="s">
        <v>865</v>
      </c>
      <c r="L100" s="16" t="s">
        <v>885</v>
      </c>
      <c r="M100" s="20" t="str">
        <f>IFERROR(VLOOKUP(C100,'Scenario Register'!$A$9:$D$200,4,FALSE()),"")</f>
        <v>Field Operations</v>
      </c>
      <c r="N100" s="20" t="str">
        <f>IFERROR(VLOOKUP(C100,'Scenario Register'!$A$9:$C$200,3,FALSE()),"")</f>
        <v>Mobile Updates</v>
      </c>
    </row>
    <row r="101" spans="1:14" x14ac:dyDescent="0.25">
      <c r="A101" s="16" t="s">
        <v>986</v>
      </c>
      <c r="B101" s="17">
        <v>46078</v>
      </c>
      <c r="C101" s="16" t="s">
        <v>811</v>
      </c>
      <c r="D101" s="16" t="s">
        <v>460</v>
      </c>
      <c r="E101" s="16" t="s">
        <v>449</v>
      </c>
      <c r="F101" s="16" t="s">
        <v>864</v>
      </c>
      <c r="G101" s="16" t="s">
        <v>195</v>
      </c>
      <c r="H101" s="16"/>
      <c r="I101" s="16"/>
      <c r="J101" s="16" t="s">
        <v>437</v>
      </c>
      <c r="K101" s="16" t="s">
        <v>865</v>
      </c>
      <c r="L101" s="16"/>
      <c r="M101" s="20" t="str">
        <f>IFERROR(VLOOKUP(C101,'Scenario Register'!$A$9:$D$200,4,FALSE()),"")</f>
        <v>Field Operations</v>
      </c>
      <c r="N101" s="20" t="str">
        <f>IFERROR(VLOOKUP(C101,'Scenario Register'!$A$9:$C$200,3,FALSE()),"")</f>
        <v>Mobile Updates</v>
      </c>
    </row>
    <row r="102" spans="1:14" x14ac:dyDescent="0.25">
      <c r="A102" s="16" t="s">
        <v>987</v>
      </c>
      <c r="B102" s="17">
        <v>46084</v>
      </c>
      <c r="C102" s="16" t="s">
        <v>831</v>
      </c>
      <c r="D102" s="16" t="s">
        <v>79</v>
      </c>
      <c r="E102" s="16" t="s">
        <v>449</v>
      </c>
      <c r="F102" s="16" t="s">
        <v>864</v>
      </c>
      <c r="G102" s="16" t="s">
        <v>195</v>
      </c>
      <c r="H102" s="16"/>
      <c r="I102" s="16"/>
      <c r="J102" s="16" t="s">
        <v>437</v>
      </c>
      <c r="K102" s="16" t="s">
        <v>865</v>
      </c>
      <c r="L102" s="16" t="s">
        <v>892</v>
      </c>
      <c r="M102" s="20" t="str">
        <f>IFERROR(VLOOKUP(C102,'Scenario Register'!$A$9:$D$200,4,FALSE()),"")</f>
        <v>Field Operations</v>
      </c>
      <c r="N102" s="20" t="str">
        <f>IFERROR(VLOOKUP(C102,'Scenario Register'!$A$9:$C$200,3,FALSE()),"")</f>
        <v>Mobile Updates</v>
      </c>
    </row>
    <row r="103" spans="1:14" ht="25.5" x14ac:dyDescent="0.25">
      <c r="A103" s="16" t="s">
        <v>988</v>
      </c>
      <c r="B103" s="17">
        <v>46077</v>
      </c>
      <c r="C103" s="16" t="s">
        <v>771</v>
      </c>
      <c r="D103" s="16" t="s">
        <v>484</v>
      </c>
      <c r="E103" s="16" t="s">
        <v>436</v>
      </c>
      <c r="F103" s="16" t="s">
        <v>864</v>
      </c>
      <c r="G103" s="16" t="s">
        <v>195</v>
      </c>
      <c r="H103" s="16"/>
      <c r="I103" s="16"/>
      <c r="J103" s="16" t="s">
        <v>437</v>
      </c>
      <c r="K103" s="16" t="s">
        <v>865</v>
      </c>
      <c r="L103" s="16" t="s">
        <v>885</v>
      </c>
      <c r="M103" s="20" t="str">
        <f>IFERROR(VLOOKUP(C103,'Scenario Register'!$A$9:$D$200,4,FALSE()),"")</f>
        <v>Contact Centre</v>
      </c>
      <c r="N103" s="20" t="str">
        <f>IFERROR(VLOOKUP(C103,'Scenario Register'!$A$9:$C$200,3,FALSE()),"")</f>
        <v>Call Handling</v>
      </c>
    </row>
    <row r="104" spans="1:14" x14ac:dyDescent="0.25">
      <c r="A104" s="16" t="s">
        <v>989</v>
      </c>
      <c r="B104" s="17">
        <v>46083</v>
      </c>
      <c r="C104" s="16" t="s">
        <v>806</v>
      </c>
      <c r="D104" s="16" t="s">
        <v>481</v>
      </c>
      <c r="E104" s="16" t="s">
        <v>449</v>
      </c>
      <c r="F104" s="16" t="s">
        <v>864</v>
      </c>
      <c r="G104" s="16" t="s">
        <v>197</v>
      </c>
      <c r="H104" s="16"/>
      <c r="I104" s="16" t="s">
        <v>949</v>
      </c>
      <c r="J104" s="16" t="s">
        <v>438</v>
      </c>
      <c r="K104" s="16" t="s">
        <v>875</v>
      </c>
      <c r="L104" s="16" t="s">
        <v>872</v>
      </c>
      <c r="M104" s="20" t="str">
        <f>IFERROR(VLOOKUP(C104,'Scenario Register'!$A$9:$D$200,4,FALSE()),"")</f>
        <v>Field Operations</v>
      </c>
      <c r="N104" s="20" t="str">
        <f>IFERROR(VLOOKUP(C104,'Scenario Register'!$A$9:$C$200,3,FALSE()),"")</f>
        <v>Work Allocation</v>
      </c>
    </row>
    <row r="105" spans="1:14" ht="25.5" x14ac:dyDescent="0.25">
      <c r="A105" s="16" t="s">
        <v>990</v>
      </c>
      <c r="B105" s="17">
        <v>46080</v>
      </c>
      <c r="C105" s="16" t="s">
        <v>849</v>
      </c>
      <c r="D105" s="16" t="s">
        <v>484</v>
      </c>
      <c r="E105" s="16" t="s">
        <v>436</v>
      </c>
      <c r="F105" s="16" t="s">
        <v>864</v>
      </c>
      <c r="G105" s="16" t="s">
        <v>195</v>
      </c>
      <c r="H105" s="16"/>
      <c r="I105" s="16"/>
      <c r="J105" s="16" t="s">
        <v>437</v>
      </c>
      <c r="K105" s="16" t="s">
        <v>865</v>
      </c>
      <c r="L105" s="16" t="s">
        <v>885</v>
      </c>
      <c r="M105" s="20" t="str">
        <f>IFERROR(VLOOKUP(C105,'Scenario Register'!$A$9:$D$200,4,FALSE()),"")</f>
        <v>Contact Centre</v>
      </c>
      <c r="N105" s="20" t="str">
        <f>IFERROR(VLOOKUP(C105,'Scenario Register'!$A$9:$C$200,3,FALSE()),"")</f>
        <v>Case Routing</v>
      </c>
    </row>
    <row r="106" spans="1:14" x14ac:dyDescent="0.25">
      <c r="A106" s="16" t="s">
        <v>991</v>
      </c>
      <c r="B106" s="17">
        <v>46088</v>
      </c>
      <c r="C106" s="16" t="s">
        <v>793</v>
      </c>
      <c r="D106" s="16" t="s">
        <v>456</v>
      </c>
      <c r="E106" s="16" t="s">
        <v>436</v>
      </c>
      <c r="F106" s="16" t="s">
        <v>871</v>
      </c>
      <c r="G106" s="16" t="s">
        <v>198</v>
      </c>
      <c r="H106" s="16"/>
      <c r="I106" s="16"/>
      <c r="J106" s="16" t="s">
        <v>437</v>
      </c>
      <c r="K106" s="16" t="s">
        <v>865</v>
      </c>
      <c r="L106" s="16"/>
      <c r="M106" s="20" t="str">
        <f>IFERROR(VLOOKUP(C106,'Scenario Register'!$A$9:$D$200,4,FALSE()),"")</f>
        <v>Case Management</v>
      </c>
      <c r="N106" s="20" t="str">
        <f>IFERROR(VLOOKUP(C106,'Scenario Register'!$A$9:$C$200,3,FALSE()),"")</f>
        <v>Case Update</v>
      </c>
    </row>
    <row r="107" spans="1:14" ht="25.5" x14ac:dyDescent="0.25">
      <c r="A107" s="16" t="s">
        <v>992</v>
      </c>
      <c r="B107" s="17">
        <v>46081</v>
      </c>
      <c r="C107" s="16" t="s">
        <v>797</v>
      </c>
      <c r="D107" s="16" t="s">
        <v>79</v>
      </c>
      <c r="E107" s="16" t="s">
        <v>458</v>
      </c>
      <c r="F107" s="16" t="s">
        <v>864</v>
      </c>
      <c r="G107" s="16" t="s">
        <v>195</v>
      </c>
      <c r="H107" s="16"/>
      <c r="I107" s="16"/>
      <c r="J107" s="16" t="s">
        <v>437</v>
      </c>
      <c r="K107" s="16" t="s">
        <v>865</v>
      </c>
      <c r="L107" s="16" t="s">
        <v>872</v>
      </c>
      <c r="M107" s="20" t="str">
        <f>IFERROR(VLOOKUP(C107,'Scenario Register'!$A$9:$D$200,4,FALSE()),"")</f>
        <v>Reporting &amp; MI</v>
      </c>
      <c r="N107" s="20" t="str">
        <f>IFERROR(VLOOKUP(C107,'Scenario Register'!$A$9:$C$200,3,FALSE()),"")</f>
        <v>Operational Reporting</v>
      </c>
    </row>
    <row r="108" spans="1:14" x14ac:dyDescent="0.25">
      <c r="A108" s="16" t="s">
        <v>993</v>
      </c>
      <c r="B108" s="17">
        <v>46085</v>
      </c>
      <c r="C108" s="16" t="s">
        <v>781</v>
      </c>
      <c r="D108" s="16" t="s">
        <v>252</v>
      </c>
      <c r="E108" s="16" t="s">
        <v>436</v>
      </c>
      <c r="F108" s="16" t="s">
        <v>871</v>
      </c>
      <c r="G108" s="16" t="s">
        <v>195</v>
      </c>
      <c r="H108" s="16"/>
      <c r="I108" s="16"/>
      <c r="J108" s="16" t="s">
        <v>437</v>
      </c>
      <c r="K108" s="16" t="s">
        <v>865</v>
      </c>
      <c r="L108" s="16"/>
      <c r="M108" s="20" t="str">
        <f>IFERROR(VLOOKUP(C108,'Scenario Register'!$A$9:$D$200,4,FALSE()),"")</f>
        <v>Contact Centre</v>
      </c>
      <c r="N108" s="20" t="str">
        <f>IFERROR(VLOOKUP(C108,'Scenario Register'!$A$9:$C$200,3,FALSE()),"")</f>
        <v>Case Routing</v>
      </c>
    </row>
    <row r="109" spans="1:14" x14ac:dyDescent="0.25">
      <c r="A109" s="16" t="s">
        <v>994</v>
      </c>
      <c r="B109" s="17">
        <v>46088</v>
      </c>
      <c r="C109" s="16" t="s">
        <v>744</v>
      </c>
      <c r="D109" s="16" t="s">
        <v>252</v>
      </c>
      <c r="E109" s="16" t="s">
        <v>436</v>
      </c>
      <c r="F109" s="16" t="s">
        <v>871</v>
      </c>
      <c r="G109" s="16" t="s">
        <v>196</v>
      </c>
      <c r="H109" s="16" t="s">
        <v>995</v>
      </c>
      <c r="I109" s="16"/>
      <c r="J109" s="16" t="s">
        <v>438</v>
      </c>
      <c r="K109" s="16" t="s">
        <v>103</v>
      </c>
      <c r="L109" s="16"/>
      <c r="M109" s="20" t="str">
        <f>IFERROR(VLOOKUP(C109,'Scenario Register'!$A$9:$D$200,4,FALSE()),"")</f>
        <v>Case Management</v>
      </c>
      <c r="N109" s="20" t="str">
        <f>IFERROR(VLOOKUP(C109,'Scenario Register'!$A$9:$C$200,3,FALSE()),"")</f>
        <v>Case Update</v>
      </c>
    </row>
    <row r="110" spans="1:14" x14ac:dyDescent="0.25">
      <c r="A110" s="16" t="s">
        <v>996</v>
      </c>
      <c r="B110" s="17">
        <v>46090</v>
      </c>
      <c r="C110" s="16" t="s">
        <v>758</v>
      </c>
      <c r="D110" s="16" t="s">
        <v>79</v>
      </c>
      <c r="E110" s="16" t="s">
        <v>436</v>
      </c>
      <c r="F110" s="16" t="s">
        <v>871</v>
      </c>
      <c r="G110" s="16" t="s">
        <v>197</v>
      </c>
      <c r="H110" s="16"/>
      <c r="I110" s="16" t="s">
        <v>997</v>
      </c>
      <c r="J110" s="16" t="s">
        <v>438</v>
      </c>
      <c r="K110" s="16" t="s">
        <v>875</v>
      </c>
      <c r="L110" s="16" t="s">
        <v>881</v>
      </c>
      <c r="M110" s="20" t="str">
        <f>IFERROR(VLOOKUP(C110,'Scenario Register'!$A$9:$D$200,4,FALSE()),"")</f>
        <v>Contact Centre</v>
      </c>
      <c r="N110" s="20" t="str">
        <f>IFERROR(VLOOKUP(C110,'Scenario Register'!$A$9:$C$200,3,FALSE()),"")</f>
        <v>Identity &amp; Eligibility</v>
      </c>
    </row>
    <row r="111" spans="1:14" x14ac:dyDescent="0.25">
      <c r="A111" s="16" t="s">
        <v>998</v>
      </c>
      <c r="B111" s="17">
        <v>46079</v>
      </c>
      <c r="C111" s="16" t="s">
        <v>787</v>
      </c>
      <c r="D111" s="16" t="s">
        <v>243</v>
      </c>
      <c r="E111" s="16" t="s">
        <v>449</v>
      </c>
      <c r="F111" s="16" t="s">
        <v>864</v>
      </c>
      <c r="G111" s="16" t="s">
        <v>196</v>
      </c>
      <c r="H111" s="16" t="s">
        <v>999</v>
      </c>
      <c r="I111" s="16"/>
      <c r="J111" s="16" t="s">
        <v>438</v>
      </c>
      <c r="K111" s="16" t="s">
        <v>232</v>
      </c>
      <c r="L111" s="16" t="s">
        <v>872</v>
      </c>
      <c r="M111" s="20" t="str">
        <f>IFERROR(VLOOKUP(C111,'Scenario Register'!$A$9:$D$200,4,FALSE()),"")</f>
        <v>Finance &amp; Billing</v>
      </c>
      <c r="N111" s="20" t="str">
        <f>IFERROR(VLOOKUP(C111,'Scenario Register'!$A$9:$C$200,3,FALSE()),"")</f>
        <v>Refunds</v>
      </c>
    </row>
    <row r="112" spans="1:14" x14ac:dyDescent="0.25">
      <c r="A112" s="16" t="s">
        <v>1000</v>
      </c>
      <c r="B112" s="17">
        <v>46090</v>
      </c>
      <c r="C112" s="16" t="s">
        <v>847</v>
      </c>
      <c r="D112" s="16" t="s">
        <v>269</v>
      </c>
      <c r="E112" s="16" t="s">
        <v>449</v>
      </c>
      <c r="F112" s="16" t="s">
        <v>871</v>
      </c>
      <c r="G112" s="16" t="s">
        <v>196</v>
      </c>
      <c r="H112" s="16"/>
      <c r="I112" s="16"/>
      <c r="J112" s="16" t="s">
        <v>438</v>
      </c>
      <c r="K112" s="16" t="s">
        <v>103</v>
      </c>
      <c r="L112" s="16"/>
      <c r="M112" s="20" t="str">
        <f>IFERROR(VLOOKUP(C112,'Scenario Register'!$A$9:$D$200,4,FALSE()),"")</f>
        <v>Finance &amp; Billing</v>
      </c>
      <c r="N112" s="20" t="str">
        <f>IFERROR(VLOOKUP(C112,'Scenario Register'!$A$9:$C$200,3,FALSE()),"")</f>
        <v>Adjustments</v>
      </c>
    </row>
    <row r="113" spans="1:14" x14ac:dyDescent="0.25">
      <c r="A113" s="16" t="s">
        <v>1001</v>
      </c>
      <c r="B113" s="17">
        <v>46086</v>
      </c>
      <c r="C113" s="16" t="s">
        <v>837</v>
      </c>
      <c r="D113" s="16" t="s">
        <v>476</v>
      </c>
      <c r="E113" s="16" t="s">
        <v>449</v>
      </c>
      <c r="F113" s="16" t="s">
        <v>871</v>
      </c>
      <c r="G113" s="16" t="s">
        <v>196</v>
      </c>
      <c r="H113" s="16" t="s">
        <v>874</v>
      </c>
      <c r="I113" s="16"/>
      <c r="J113" s="16" t="s">
        <v>438</v>
      </c>
      <c r="K113" s="16" t="s">
        <v>232</v>
      </c>
      <c r="L113" s="16" t="s">
        <v>881</v>
      </c>
      <c r="M113" s="20" t="str">
        <f>IFERROR(VLOOKUP(C113,'Scenario Register'!$A$9:$D$200,4,FALSE()),"")</f>
        <v>Finance &amp; Billing</v>
      </c>
      <c r="N113" s="20" t="str">
        <f>IFERROR(VLOOKUP(C113,'Scenario Register'!$A$9:$C$200,3,FALSE()),"")</f>
        <v>Debt Review</v>
      </c>
    </row>
    <row r="114" spans="1:14" ht="25.5" x14ac:dyDescent="0.25">
      <c r="A114" s="16" t="s">
        <v>1002</v>
      </c>
      <c r="B114" s="17">
        <v>46077</v>
      </c>
      <c r="C114" s="16" t="s">
        <v>824</v>
      </c>
      <c r="D114" s="16" t="s">
        <v>484</v>
      </c>
      <c r="E114" s="16" t="s">
        <v>436</v>
      </c>
      <c r="F114" s="16" t="s">
        <v>864</v>
      </c>
      <c r="G114" s="16" t="s">
        <v>195</v>
      </c>
      <c r="H114" s="16"/>
      <c r="I114" s="16"/>
      <c r="J114" s="16" t="s">
        <v>437</v>
      </c>
      <c r="K114" s="16" t="s">
        <v>865</v>
      </c>
      <c r="L114" s="25" t="s">
        <v>867</v>
      </c>
      <c r="M114" s="20" t="str">
        <f>IFERROR(VLOOKUP(C114,'Scenario Register'!$A$9:$D$200,4,FALSE()),"")</f>
        <v>Contact Centre</v>
      </c>
      <c r="N114" s="20" t="str">
        <f>IFERROR(VLOOKUP(C114,'Scenario Register'!$A$9:$C$200,3,FALSE()),"")</f>
        <v>Case Intake</v>
      </c>
    </row>
    <row r="115" spans="1:14" x14ac:dyDescent="0.25">
      <c r="A115" s="16" t="s">
        <v>1003</v>
      </c>
      <c r="B115" s="17">
        <v>46082</v>
      </c>
      <c r="C115" s="16" t="s">
        <v>851</v>
      </c>
      <c r="D115" s="16" t="s">
        <v>252</v>
      </c>
      <c r="E115" s="16" t="s">
        <v>449</v>
      </c>
      <c r="F115" s="16" t="s">
        <v>864</v>
      </c>
      <c r="G115" s="16" t="s">
        <v>198</v>
      </c>
      <c r="H115" s="16"/>
      <c r="I115" s="16"/>
      <c r="J115" s="16" t="s">
        <v>437</v>
      </c>
      <c r="K115" s="16" t="s">
        <v>865</v>
      </c>
      <c r="L115" s="16" t="s">
        <v>892</v>
      </c>
      <c r="M115" s="20" t="str">
        <f>IFERROR(VLOOKUP(C115,'Scenario Register'!$A$9:$D$200,4,FALSE()),"")</f>
        <v>Field Operations</v>
      </c>
      <c r="N115" s="20" t="str">
        <f>IFERROR(VLOOKUP(C115,'Scenario Register'!$A$9:$C$200,3,FALSE()),"")</f>
        <v>Visit Completion</v>
      </c>
    </row>
    <row r="116" spans="1:14" x14ac:dyDescent="0.25">
      <c r="A116" s="16" t="s">
        <v>1004</v>
      </c>
      <c r="B116" s="17">
        <v>46080</v>
      </c>
      <c r="C116" s="16" t="s">
        <v>762</v>
      </c>
      <c r="D116" s="16" t="s">
        <v>460</v>
      </c>
      <c r="E116" s="16" t="s">
        <v>449</v>
      </c>
      <c r="F116" s="16" t="s">
        <v>864</v>
      </c>
      <c r="G116" s="16" t="s">
        <v>195</v>
      </c>
      <c r="H116" s="16"/>
      <c r="I116" s="16"/>
      <c r="J116" s="16" t="s">
        <v>437</v>
      </c>
      <c r="K116" s="16" t="s">
        <v>865</v>
      </c>
      <c r="L116" s="16" t="s">
        <v>872</v>
      </c>
      <c r="M116" s="20" t="str">
        <f>IFERROR(VLOOKUP(C116,'Scenario Register'!$A$9:$D$200,4,FALSE()),"")</f>
        <v>Field Operations</v>
      </c>
      <c r="N116" s="20" t="str">
        <f>IFERROR(VLOOKUP(C116,'Scenario Register'!$A$9:$C$200,3,FALSE()),"")</f>
        <v>Mobile Updates</v>
      </c>
    </row>
    <row r="117" spans="1:14" x14ac:dyDescent="0.25">
      <c r="A117" s="16" t="s">
        <v>1005</v>
      </c>
      <c r="B117" s="17">
        <v>46082</v>
      </c>
      <c r="C117" s="16" t="s">
        <v>783</v>
      </c>
      <c r="D117" s="16" t="s">
        <v>456</v>
      </c>
      <c r="E117" s="16" t="s">
        <v>436</v>
      </c>
      <c r="F117" s="16" t="s">
        <v>864</v>
      </c>
      <c r="G117" s="16" t="s">
        <v>195</v>
      </c>
      <c r="H117" s="16"/>
      <c r="I117" s="16"/>
      <c r="J117" s="16" t="s">
        <v>437</v>
      </c>
      <c r="K117" s="16" t="s">
        <v>865</v>
      </c>
      <c r="L117" s="16"/>
      <c r="M117" s="20" t="str">
        <f>IFERROR(VLOOKUP(C117,'Scenario Register'!$A$9:$D$200,4,FALSE()),"")</f>
        <v>Case Management</v>
      </c>
      <c r="N117" s="20" t="str">
        <f>IFERROR(VLOOKUP(C117,'Scenario Register'!$A$9:$C$200,3,FALSE()),"")</f>
        <v>Case Creation</v>
      </c>
    </row>
    <row r="118" spans="1:14" ht="25.5" x14ac:dyDescent="0.25">
      <c r="A118" s="16" t="s">
        <v>1006</v>
      </c>
      <c r="B118" s="17">
        <v>46085</v>
      </c>
      <c r="C118" s="16" t="s">
        <v>819</v>
      </c>
      <c r="D118" s="16" t="s">
        <v>252</v>
      </c>
      <c r="E118" s="16" t="s">
        <v>436</v>
      </c>
      <c r="F118" s="16" t="s">
        <v>871</v>
      </c>
      <c r="G118" s="16" t="s">
        <v>195</v>
      </c>
      <c r="H118" s="16"/>
      <c r="I118" s="16"/>
      <c r="J118" s="16" t="s">
        <v>437</v>
      </c>
      <c r="K118" s="16" t="s">
        <v>865</v>
      </c>
      <c r="L118" s="16" t="s">
        <v>885</v>
      </c>
      <c r="M118" s="20" t="str">
        <f>IFERROR(VLOOKUP(C118,'Scenario Register'!$A$9:$D$200,4,FALSE()),"")</f>
        <v>Contact Centre</v>
      </c>
      <c r="N118" s="20" t="str">
        <f>IFERROR(VLOOKUP(C118,'Scenario Register'!$A$9:$C$200,3,FALSE()),"")</f>
        <v>Case Routing</v>
      </c>
    </row>
    <row r="119" spans="1:14" ht="25.5" x14ac:dyDescent="0.25">
      <c r="A119" s="16" t="s">
        <v>1007</v>
      </c>
      <c r="B119" s="17">
        <v>46078</v>
      </c>
      <c r="C119" s="16" t="s">
        <v>803</v>
      </c>
      <c r="D119" s="16" t="s">
        <v>456</v>
      </c>
      <c r="E119" s="16" t="s">
        <v>458</v>
      </c>
      <c r="F119" s="16" t="s">
        <v>864</v>
      </c>
      <c r="G119" s="16" t="s">
        <v>195</v>
      </c>
      <c r="H119" s="16"/>
      <c r="I119" s="16"/>
      <c r="J119" s="16" t="s">
        <v>437</v>
      </c>
      <c r="K119" s="16" t="s">
        <v>865</v>
      </c>
      <c r="L119" s="16" t="s">
        <v>885</v>
      </c>
      <c r="M119" s="20" t="str">
        <f>IFERROR(VLOOKUP(C119,'Scenario Register'!$A$9:$D$200,4,FALSE()),"")</f>
        <v>Reporting &amp; MI</v>
      </c>
      <c r="N119" s="20" t="str">
        <f>IFERROR(VLOOKUP(C119,'Scenario Register'!$A$9:$C$200,3,FALSE()),"")</f>
        <v>Regulatory Reporting</v>
      </c>
    </row>
    <row r="120" spans="1:14" ht="25.5" x14ac:dyDescent="0.25">
      <c r="A120" s="16" t="s">
        <v>1008</v>
      </c>
      <c r="B120" s="17">
        <v>46089</v>
      </c>
      <c r="C120" s="16" t="s">
        <v>798</v>
      </c>
      <c r="D120" s="16" t="s">
        <v>456</v>
      </c>
      <c r="E120" s="16" t="s">
        <v>436</v>
      </c>
      <c r="F120" s="16" t="s">
        <v>871</v>
      </c>
      <c r="G120" s="16" t="s">
        <v>196</v>
      </c>
      <c r="H120" s="16" t="s">
        <v>1009</v>
      </c>
      <c r="I120" s="16"/>
      <c r="J120" s="16" t="s">
        <v>438</v>
      </c>
      <c r="K120" s="16" t="s">
        <v>875</v>
      </c>
      <c r="L120" s="25" t="s">
        <v>867</v>
      </c>
      <c r="M120" s="20" t="str">
        <f>IFERROR(VLOOKUP(C120,'Scenario Register'!$A$9:$D$200,4,FALSE()),"")</f>
        <v>Contact Centre</v>
      </c>
      <c r="N120" s="20" t="str">
        <f>IFERROR(VLOOKUP(C120,'Scenario Register'!$A$9:$C$200,3,FALSE()),"")</f>
        <v>Identity &amp; Eligibility</v>
      </c>
    </row>
    <row r="121" spans="1:14" x14ac:dyDescent="0.25">
      <c r="A121" s="16" t="s">
        <v>1010</v>
      </c>
      <c r="B121" s="17">
        <v>46081</v>
      </c>
      <c r="C121" s="16" t="s">
        <v>795</v>
      </c>
      <c r="D121" s="16" t="s">
        <v>460</v>
      </c>
      <c r="E121" s="16" t="s">
        <v>449</v>
      </c>
      <c r="F121" s="16" t="s">
        <v>864</v>
      </c>
      <c r="G121" s="16" t="s">
        <v>195</v>
      </c>
      <c r="H121" s="16"/>
      <c r="I121" s="16"/>
      <c r="J121" s="16" t="s">
        <v>437</v>
      </c>
      <c r="K121" s="16" t="s">
        <v>865</v>
      </c>
      <c r="L121" s="16"/>
      <c r="M121" s="20" t="str">
        <f>IFERROR(VLOOKUP(C121,'Scenario Register'!$A$9:$D$200,4,FALSE()),"")</f>
        <v>Finance &amp; Billing</v>
      </c>
      <c r="N121" s="20" t="str">
        <f>IFERROR(VLOOKUP(C121,'Scenario Register'!$A$9:$C$200,3,FALSE()),"")</f>
        <v>Debt Review</v>
      </c>
    </row>
    <row r="122" spans="1:14" x14ac:dyDescent="0.25">
      <c r="A122" s="16" t="s">
        <v>1011</v>
      </c>
      <c r="B122" s="17">
        <v>46082</v>
      </c>
      <c r="C122" s="16" t="s">
        <v>744</v>
      </c>
      <c r="D122" s="16" t="s">
        <v>252</v>
      </c>
      <c r="E122" s="16" t="s">
        <v>436</v>
      </c>
      <c r="F122" s="16" t="s">
        <v>864</v>
      </c>
      <c r="G122" s="16" t="s">
        <v>196</v>
      </c>
      <c r="H122" s="16" t="s">
        <v>995</v>
      </c>
      <c r="I122" s="16"/>
      <c r="J122" s="16" t="s">
        <v>438</v>
      </c>
      <c r="K122" s="16" t="s">
        <v>232</v>
      </c>
      <c r="L122" s="16" t="s">
        <v>881</v>
      </c>
      <c r="M122" s="20" t="str">
        <f>IFERROR(VLOOKUP(C122,'Scenario Register'!$A$9:$D$200,4,FALSE()),"")</f>
        <v>Case Management</v>
      </c>
      <c r="N122" s="20" t="str">
        <f>IFERROR(VLOOKUP(C122,'Scenario Register'!$A$9:$C$200,3,FALSE()),"")</f>
        <v>Case Update</v>
      </c>
    </row>
    <row r="123" spans="1:14" ht="25.5" x14ac:dyDescent="0.25">
      <c r="A123" s="16" t="s">
        <v>1012</v>
      </c>
      <c r="B123" s="17">
        <v>46082</v>
      </c>
      <c r="C123" s="16" t="s">
        <v>816</v>
      </c>
      <c r="D123" s="16" t="s">
        <v>79</v>
      </c>
      <c r="E123" s="16" t="s">
        <v>449</v>
      </c>
      <c r="F123" s="16" t="s">
        <v>864</v>
      </c>
      <c r="G123" s="16" t="s">
        <v>198</v>
      </c>
      <c r="H123" s="16"/>
      <c r="I123" s="16"/>
      <c r="J123" s="16" t="s">
        <v>437</v>
      </c>
      <c r="K123" s="16" t="s">
        <v>865</v>
      </c>
      <c r="L123" s="25" t="s">
        <v>867</v>
      </c>
      <c r="M123" s="20" t="str">
        <f>IFERROR(VLOOKUP(C123,'Scenario Register'!$A$9:$D$200,4,FALSE()),"")</f>
        <v>Field Operations</v>
      </c>
      <c r="N123" s="20" t="str">
        <f>IFERROR(VLOOKUP(C123,'Scenario Register'!$A$9:$C$200,3,FALSE()),"")</f>
        <v>Appointment Booking</v>
      </c>
    </row>
    <row r="124" spans="1:14" x14ac:dyDescent="0.25">
      <c r="A124" s="16" t="s">
        <v>1013</v>
      </c>
      <c r="B124" s="17">
        <v>46079</v>
      </c>
      <c r="C124" s="16" t="s">
        <v>822</v>
      </c>
      <c r="D124" s="16" t="s">
        <v>252</v>
      </c>
      <c r="E124" s="16" t="s">
        <v>449</v>
      </c>
      <c r="F124" s="16" t="s">
        <v>864</v>
      </c>
      <c r="G124" s="16" t="s">
        <v>195</v>
      </c>
      <c r="H124" s="16"/>
      <c r="I124" s="16"/>
      <c r="J124" s="16" t="s">
        <v>437</v>
      </c>
      <c r="K124" s="16" t="s">
        <v>865</v>
      </c>
      <c r="L124" s="16" t="s">
        <v>872</v>
      </c>
      <c r="M124" s="20" t="str">
        <f>IFERROR(VLOOKUP(C124,'Scenario Register'!$A$9:$D$200,4,FALSE()),"")</f>
        <v>Finance &amp; Billing</v>
      </c>
      <c r="N124" s="20" t="str">
        <f>IFERROR(VLOOKUP(C124,'Scenario Register'!$A$9:$C$200,3,FALSE()),"")</f>
        <v>Refunds</v>
      </c>
    </row>
    <row r="125" spans="1:14" ht="25.5" x14ac:dyDescent="0.25">
      <c r="A125" s="16" t="s">
        <v>1014</v>
      </c>
      <c r="B125" s="17">
        <v>46084</v>
      </c>
      <c r="C125" s="16" t="s">
        <v>843</v>
      </c>
      <c r="D125" s="16" t="s">
        <v>460</v>
      </c>
      <c r="E125" s="16" t="s">
        <v>458</v>
      </c>
      <c r="F125" s="16" t="s">
        <v>864</v>
      </c>
      <c r="G125" s="16" t="s">
        <v>195</v>
      </c>
      <c r="H125" s="16"/>
      <c r="I125" s="16"/>
      <c r="J125" s="16" t="s">
        <v>437</v>
      </c>
      <c r="K125" s="16" t="s">
        <v>865</v>
      </c>
      <c r="L125" s="16" t="s">
        <v>881</v>
      </c>
      <c r="M125" s="20" t="str">
        <f>IFERROR(VLOOKUP(C125,'Scenario Register'!$A$9:$D$200,4,FALSE()),"")</f>
        <v>Reporting &amp; MI</v>
      </c>
      <c r="N125" s="20" t="str">
        <f>IFERROR(VLOOKUP(C125,'Scenario Register'!$A$9:$C$200,3,FALSE()),"")</f>
        <v>Regulatory Reporting</v>
      </c>
    </row>
    <row r="126" spans="1:14" ht="25.5" x14ac:dyDescent="0.25">
      <c r="A126" s="16" t="s">
        <v>1015</v>
      </c>
      <c r="B126" s="17">
        <v>46089</v>
      </c>
      <c r="C126" s="16" t="s">
        <v>781</v>
      </c>
      <c r="D126" s="16" t="s">
        <v>252</v>
      </c>
      <c r="E126" s="16" t="s">
        <v>436</v>
      </c>
      <c r="F126" s="16" t="s">
        <v>871</v>
      </c>
      <c r="G126" s="16" t="s">
        <v>196</v>
      </c>
      <c r="H126" s="16"/>
      <c r="I126" s="16"/>
      <c r="J126" s="16" t="s">
        <v>438</v>
      </c>
      <c r="K126" s="16" t="s">
        <v>232</v>
      </c>
      <c r="L126" s="16" t="s">
        <v>885</v>
      </c>
      <c r="M126" s="20" t="str">
        <f>IFERROR(VLOOKUP(C126,'Scenario Register'!$A$9:$D$200,4,FALSE()),"")</f>
        <v>Contact Centre</v>
      </c>
      <c r="N126" s="20" t="str">
        <f>IFERROR(VLOOKUP(C126,'Scenario Register'!$A$9:$C$200,3,FALSE()),"")</f>
        <v>Case Routing</v>
      </c>
    </row>
    <row r="127" spans="1:14" x14ac:dyDescent="0.25">
      <c r="A127" s="16" t="s">
        <v>1016</v>
      </c>
      <c r="B127" s="17">
        <v>46078</v>
      </c>
      <c r="C127" s="16" t="s">
        <v>781</v>
      </c>
      <c r="D127" s="16" t="s">
        <v>252</v>
      </c>
      <c r="E127" s="16" t="s">
        <v>436</v>
      </c>
      <c r="F127" s="16" t="s">
        <v>864</v>
      </c>
      <c r="G127" s="16" t="s">
        <v>195</v>
      </c>
      <c r="H127" s="16"/>
      <c r="I127" s="16"/>
      <c r="J127" s="16" t="s">
        <v>437</v>
      </c>
      <c r="K127" s="16" t="s">
        <v>865</v>
      </c>
      <c r="L127" s="16"/>
      <c r="M127" s="20" t="str">
        <f>IFERROR(VLOOKUP(C127,'Scenario Register'!$A$9:$D$200,4,FALSE()),"")</f>
        <v>Contact Centre</v>
      </c>
      <c r="N127" s="20" t="str">
        <f>IFERROR(VLOOKUP(C127,'Scenario Register'!$A$9:$C$200,3,FALSE()),"")</f>
        <v>Case Routing</v>
      </c>
    </row>
    <row r="128" spans="1:14" ht="25.5" x14ac:dyDescent="0.25">
      <c r="A128" s="16" t="s">
        <v>1017</v>
      </c>
      <c r="B128" s="17">
        <v>46087</v>
      </c>
      <c r="C128" s="16" t="s">
        <v>814</v>
      </c>
      <c r="D128" s="16" t="s">
        <v>243</v>
      </c>
      <c r="E128" s="16" t="s">
        <v>436</v>
      </c>
      <c r="F128" s="16" t="s">
        <v>871</v>
      </c>
      <c r="G128" s="16" t="s">
        <v>195</v>
      </c>
      <c r="H128" s="16"/>
      <c r="I128" s="16"/>
      <c r="J128" s="16" t="s">
        <v>437</v>
      </c>
      <c r="K128" s="16" t="s">
        <v>865</v>
      </c>
      <c r="L128" s="25" t="s">
        <v>867</v>
      </c>
      <c r="M128" s="20" t="str">
        <f>IFERROR(VLOOKUP(C128,'Scenario Register'!$A$9:$D$200,4,FALSE()),"")</f>
        <v>Contact Centre</v>
      </c>
      <c r="N128" s="20" t="str">
        <f>IFERROR(VLOOKUP(C128,'Scenario Register'!$A$9:$C$200,3,FALSE()),"")</f>
        <v>Call Handling</v>
      </c>
    </row>
    <row r="129" spans="1:14" x14ac:dyDescent="0.25">
      <c r="A129" s="16" t="s">
        <v>1018</v>
      </c>
      <c r="B129" s="17">
        <v>46082</v>
      </c>
      <c r="C129" s="16" t="s">
        <v>819</v>
      </c>
      <c r="D129" s="16" t="s">
        <v>252</v>
      </c>
      <c r="E129" s="16" t="s">
        <v>436</v>
      </c>
      <c r="F129" s="16" t="s">
        <v>864</v>
      </c>
      <c r="G129" s="16" t="s">
        <v>196</v>
      </c>
      <c r="H129" s="16" t="s">
        <v>971</v>
      </c>
      <c r="I129" s="16"/>
      <c r="J129" s="16" t="s">
        <v>438</v>
      </c>
      <c r="K129" s="16" t="s">
        <v>232</v>
      </c>
      <c r="L129" s="16"/>
      <c r="M129" s="20" t="str">
        <f>IFERROR(VLOOKUP(C129,'Scenario Register'!$A$9:$D$200,4,FALSE()),"")</f>
        <v>Contact Centre</v>
      </c>
      <c r="N129" s="20" t="str">
        <f>IFERROR(VLOOKUP(C129,'Scenario Register'!$A$9:$C$200,3,FALSE()),"")</f>
        <v>Case Routing</v>
      </c>
    </row>
    <row r="130" spans="1:14" ht="25.5" x14ac:dyDescent="0.25">
      <c r="A130" s="16" t="s">
        <v>1019</v>
      </c>
      <c r="B130" s="17">
        <v>46086</v>
      </c>
      <c r="C130" s="16" t="s">
        <v>794</v>
      </c>
      <c r="D130" s="16" t="s">
        <v>487</v>
      </c>
      <c r="E130" s="16" t="s">
        <v>449</v>
      </c>
      <c r="F130" s="16" t="s">
        <v>871</v>
      </c>
      <c r="G130" s="16" t="s">
        <v>195</v>
      </c>
      <c r="H130" s="16"/>
      <c r="I130" s="16"/>
      <c r="J130" s="16" t="s">
        <v>437</v>
      </c>
      <c r="K130" s="16" t="s">
        <v>865</v>
      </c>
      <c r="L130" s="16" t="s">
        <v>885</v>
      </c>
      <c r="M130" s="20" t="str">
        <f>IFERROR(VLOOKUP(C130,'Scenario Register'!$A$9:$D$200,4,FALSE()),"")</f>
        <v>Field Operations</v>
      </c>
      <c r="N130" s="20" t="str">
        <f>IFERROR(VLOOKUP(C130,'Scenario Register'!$A$9:$C$200,3,FALSE()),"")</f>
        <v>Work Allocation</v>
      </c>
    </row>
    <row r="131" spans="1:14" x14ac:dyDescent="0.25">
      <c r="A131" s="16" t="s">
        <v>1020</v>
      </c>
      <c r="B131" s="17">
        <v>46081</v>
      </c>
      <c r="C131" s="16" t="s">
        <v>764</v>
      </c>
      <c r="D131" s="16" t="s">
        <v>476</v>
      </c>
      <c r="E131" s="16" t="s">
        <v>449</v>
      </c>
      <c r="F131" s="16" t="s">
        <v>864</v>
      </c>
      <c r="G131" s="16" t="s">
        <v>196</v>
      </c>
      <c r="H131" s="16" t="s">
        <v>999</v>
      </c>
      <c r="I131" s="16"/>
      <c r="J131" s="16" t="s">
        <v>438</v>
      </c>
      <c r="K131" s="16" t="s">
        <v>232</v>
      </c>
      <c r="L131" s="16" t="s">
        <v>872</v>
      </c>
      <c r="M131" s="20" t="str">
        <f>IFERROR(VLOOKUP(C131,'Scenario Register'!$A$9:$D$200,4,FALSE()),"")</f>
        <v>Finance &amp; Billing</v>
      </c>
      <c r="N131" s="20" t="str">
        <f>IFERROR(VLOOKUP(C131,'Scenario Register'!$A$9:$C$200,3,FALSE()),"")</f>
        <v>Charges &amp; Payments</v>
      </c>
    </row>
    <row r="132" spans="1:14" ht="25.5" x14ac:dyDescent="0.25">
      <c r="A132" s="16" t="s">
        <v>1021</v>
      </c>
      <c r="B132" s="17">
        <v>46083</v>
      </c>
      <c r="C132" s="16" t="s">
        <v>771</v>
      </c>
      <c r="D132" s="16" t="s">
        <v>484</v>
      </c>
      <c r="E132" s="16" t="s">
        <v>436</v>
      </c>
      <c r="F132" s="16" t="s">
        <v>864</v>
      </c>
      <c r="G132" s="16" t="s">
        <v>196</v>
      </c>
      <c r="H132" s="16" t="s">
        <v>917</v>
      </c>
      <c r="I132" s="16"/>
      <c r="J132" s="16" t="s">
        <v>438</v>
      </c>
      <c r="K132" s="16" t="s">
        <v>232</v>
      </c>
      <c r="L132" s="16" t="s">
        <v>885</v>
      </c>
      <c r="M132" s="20" t="str">
        <f>IFERROR(VLOOKUP(C132,'Scenario Register'!$A$9:$D$200,4,FALSE()),"")</f>
        <v>Contact Centre</v>
      </c>
      <c r="N132" s="20" t="str">
        <f>IFERROR(VLOOKUP(C132,'Scenario Register'!$A$9:$C$200,3,FALSE()),"")</f>
        <v>Call Handling</v>
      </c>
    </row>
    <row r="133" spans="1:14" x14ac:dyDescent="0.25">
      <c r="A133" s="16" t="s">
        <v>1022</v>
      </c>
      <c r="B133" s="17">
        <v>46082</v>
      </c>
      <c r="C133" s="16" t="s">
        <v>771</v>
      </c>
      <c r="D133" s="16" t="s">
        <v>484</v>
      </c>
      <c r="E133" s="16" t="s">
        <v>436</v>
      </c>
      <c r="F133" s="16" t="s">
        <v>864</v>
      </c>
      <c r="G133" s="16" t="s">
        <v>196</v>
      </c>
      <c r="H133" s="16" t="s">
        <v>917</v>
      </c>
      <c r="I133" s="16"/>
      <c r="J133" s="16" t="s">
        <v>438</v>
      </c>
      <c r="K133" s="16" t="s">
        <v>875</v>
      </c>
      <c r="L133" s="16" t="s">
        <v>881</v>
      </c>
      <c r="M133" s="20" t="str">
        <f>IFERROR(VLOOKUP(C133,'Scenario Register'!$A$9:$D$200,4,FALSE()),"")</f>
        <v>Contact Centre</v>
      </c>
      <c r="N133" s="20" t="str">
        <f>IFERROR(VLOOKUP(C133,'Scenario Register'!$A$9:$C$200,3,FALSE()),"")</f>
        <v>Call Handling</v>
      </c>
    </row>
    <row r="134" spans="1:14" ht="25.5" x14ac:dyDescent="0.25">
      <c r="A134" s="16" t="s">
        <v>1023</v>
      </c>
      <c r="B134" s="17">
        <v>46085</v>
      </c>
      <c r="C134" s="16" t="s">
        <v>837</v>
      </c>
      <c r="D134" s="16" t="s">
        <v>476</v>
      </c>
      <c r="E134" s="16" t="s">
        <v>449</v>
      </c>
      <c r="F134" s="16" t="s">
        <v>871</v>
      </c>
      <c r="G134" s="16" t="s">
        <v>195</v>
      </c>
      <c r="H134" s="16"/>
      <c r="I134" s="16"/>
      <c r="J134" s="16" t="s">
        <v>437</v>
      </c>
      <c r="K134" s="16" t="s">
        <v>865</v>
      </c>
      <c r="L134" s="25" t="s">
        <v>867</v>
      </c>
      <c r="M134" s="20" t="str">
        <f>IFERROR(VLOOKUP(C134,'Scenario Register'!$A$9:$D$200,4,FALSE()),"")</f>
        <v>Finance &amp; Billing</v>
      </c>
      <c r="N134" s="20" t="str">
        <f>IFERROR(VLOOKUP(C134,'Scenario Register'!$A$9:$C$200,3,FALSE()),"")</f>
        <v>Debt Review</v>
      </c>
    </row>
    <row r="135" spans="1:14" ht="25.5" x14ac:dyDescent="0.25">
      <c r="A135" s="16" t="s">
        <v>1024</v>
      </c>
      <c r="B135" s="17">
        <v>46090</v>
      </c>
      <c r="C135" s="16" t="s">
        <v>803</v>
      </c>
      <c r="D135" s="16" t="s">
        <v>456</v>
      </c>
      <c r="E135" s="16" t="s">
        <v>458</v>
      </c>
      <c r="F135" s="16" t="s">
        <v>871</v>
      </c>
      <c r="G135" s="16" t="s">
        <v>196</v>
      </c>
      <c r="H135" s="16" t="s">
        <v>1025</v>
      </c>
      <c r="I135" s="16"/>
      <c r="J135" s="16" t="s">
        <v>438</v>
      </c>
      <c r="K135" s="16" t="s">
        <v>875</v>
      </c>
      <c r="L135" s="16" t="s">
        <v>885</v>
      </c>
      <c r="M135" s="20" t="str">
        <f>IFERROR(VLOOKUP(C135,'Scenario Register'!$A$9:$D$200,4,FALSE()),"")</f>
        <v>Reporting &amp; MI</v>
      </c>
      <c r="N135" s="20" t="str">
        <f>IFERROR(VLOOKUP(C135,'Scenario Register'!$A$9:$C$200,3,FALSE()),"")</f>
        <v>Regulatory Reporting</v>
      </c>
    </row>
    <row r="136" spans="1:14" ht="25.5" x14ac:dyDescent="0.25">
      <c r="A136" s="16" t="s">
        <v>1026</v>
      </c>
      <c r="B136" s="17">
        <v>46081</v>
      </c>
      <c r="C136" s="16" t="s">
        <v>783</v>
      </c>
      <c r="D136" s="16" t="s">
        <v>456</v>
      </c>
      <c r="E136" s="16" t="s">
        <v>436</v>
      </c>
      <c r="F136" s="16" t="s">
        <v>864</v>
      </c>
      <c r="G136" s="16" t="s">
        <v>195</v>
      </c>
      <c r="H136" s="16"/>
      <c r="I136" s="16"/>
      <c r="J136" s="16" t="s">
        <v>437</v>
      </c>
      <c r="K136" s="16" t="s">
        <v>865</v>
      </c>
      <c r="L136" s="25" t="s">
        <v>867</v>
      </c>
      <c r="M136" s="20" t="str">
        <f>IFERROR(VLOOKUP(C136,'Scenario Register'!$A$9:$D$200,4,FALSE()),"")</f>
        <v>Case Management</v>
      </c>
      <c r="N136" s="20" t="str">
        <f>IFERROR(VLOOKUP(C136,'Scenario Register'!$A$9:$C$200,3,FALSE()),"")</f>
        <v>Case Creation</v>
      </c>
    </row>
    <row r="137" spans="1:14" ht="25.5" x14ac:dyDescent="0.25">
      <c r="A137" s="16" t="s">
        <v>1027</v>
      </c>
      <c r="B137" s="17">
        <v>46078</v>
      </c>
      <c r="C137" s="16" t="s">
        <v>816</v>
      </c>
      <c r="D137" s="16" t="s">
        <v>79</v>
      </c>
      <c r="E137" s="16" t="s">
        <v>449</v>
      </c>
      <c r="F137" s="16" t="s">
        <v>864</v>
      </c>
      <c r="G137" s="16" t="s">
        <v>195</v>
      </c>
      <c r="H137" s="16"/>
      <c r="I137" s="16"/>
      <c r="J137" s="16" t="s">
        <v>437</v>
      </c>
      <c r="K137" s="16" t="s">
        <v>865</v>
      </c>
      <c r="L137" s="16" t="s">
        <v>885</v>
      </c>
      <c r="M137" s="20" t="str">
        <f>IFERROR(VLOOKUP(C137,'Scenario Register'!$A$9:$D$200,4,FALSE()),"")</f>
        <v>Field Operations</v>
      </c>
      <c r="N137" s="20" t="str">
        <f>IFERROR(VLOOKUP(C137,'Scenario Register'!$A$9:$C$200,3,FALSE()),"")</f>
        <v>Appointment Booking</v>
      </c>
    </row>
    <row r="138" spans="1:14" x14ac:dyDescent="0.25">
      <c r="A138" s="16" t="s">
        <v>1028</v>
      </c>
      <c r="B138" s="17">
        <v>46089</v>
      </c>
      <c r="C138" s="16" t="s">
        <v>815</v>
      </c>
      <c r="D138" s="16" t="s">
        <v>446</v>
      </c>
      <c r="E138" s="16" t="s">
        <v>436</v>
      </c>
      <c r="F138" s="16" t="s">
        <v>871</v>
      </c>
      <c r="G138" s="16" t="s">
        <v>195</v>
      </c>
      <c r="H138" s="16"/>
      <c r="I138" s="16"/>
      <c r="J138" s="16" t="s">
        <v>437</v>
      </c>
      <c r="K138" s="16" t="s">
        <v>865</v>
      </c>
      <c r="L138" s="16"/>
      <c r="M138" s="20" t="str">
        <f>IFERROR(VLOOKUP(C138,'Scenario Register'!$A$9:$D$200,4,FALSE()),"")</f>
        <v>Case Management</v>
      </c>
      <c r="N138" s="20" t="str">
        <f>IFERROR(VLOOKUP(C138,'Scenario Register'!$A$9:$C$200,3,FALSE()),"")</f>
        <v>Escalations</v>
      </c>
    </row>
    <row r="139" spans="1:14" x14ac:dyDescent="0.25">
      <c r="A139" s="16" t="s">
        <v>1029</v>
      </c>
      <c r="B139" s="17">
        <v>46083</v>
      </c>
      <c r="C139" s="16" t="s">
        <v>816</v>
      </c>
      <c r="D139" s="16" t="s">
        <v>79</v>
      </c>
      <c r="E139" s="16" t="s">
        <v>449</v>
      </c>
      <c r="F139" s="16" t="s">
        <v>864</v>
      </c>
      <c r="G139" s="16" t="s">
        <v>195</v>
      </c>
      <c r="H139" s="16"/>
      <c r="I139" s="16"/>
      <c r="J139" s="16" t="s">
        <v>437</v>
      </c>
      <c r="K139" s="16" t="s">
        <v>865</v>
      </c>
      <c r="L139" s="16"/>
      <c r="M139" s="20" t="str">
        <f>IFERROR(VLOOKUP(C139,'Scenario Register'!$A$9:$D$200,4,FALSE()),"")</f>
        <v>Field Operations</v>
      </c>
      <c r="N139" s="20" t="str">
        <f>IFERROR(VLOOKUP(C139,'Scenario Register'!$A$9:$C$200,3,FALSE()),"")</f>
        <v>Appointment Booking</v>
      </c>
    </row>
    <row r="140" spans="1:14" x14ac:dyDescent="0.25">
      <c r="A140" s="16" t="s">
        <v>1030</v>
      </c>
      <c r="B140" s="17">
        <v>46077</v>
      </c>
      <c r="C140" s="16" t="s">
        <v>794</v>
      </c>
      <c r="D140" s="16" t="s">
        <v>487</v>
      </c>
      <c r="E140" s="16" t="s">
        <v>449</v>
      </c>
      <c r="F140" s="16" t="s">
        <v>864</v>
      </c>
      <c r="G140" s="16" t="s">
        <v>195</v>
      </c>
      <c r="H140" s="16"/>
      <c r="I140" s="16"/>
      <c r="J140" s="16" t="s">
        <v>437</v>
      </c>
      <c r="K140" s="16" t="s">
        <v>865</v>
      </c>
      <c r="L140" s="16" t="s">
        <v>892</v>
      </c>
      <c r="M140" s="20" t="str">
        <f>IFERROR(VLOOKUP(C140,'Scenario Register'!$A$9:$D$200,4,FALSE()),"")</f>
        <v>Field Operations</v>
      </c>
      <c r="N140" s="20" t="str">
        <f>IFERROR(VLOOKUP(C140,'Scenario Register'!$A$9:$C$200,3,FALSE()),"")</f>
        <v>Work Allocation</v>
      </c>
    </row>
    <row r="141" spans="1:14" ht="25.5" x14ac:dyDescent="0.25">
      <c r="A141" s="16" t="s">
        <v>1031</v>
      </c>
      <c r="B141" s="17">
        <v>46078</v>
      </c>
      <c r="C141" s="16" t="s">
        <v>806</v>
      </c>
      <c r="D141" s="16" t="s">
        <v>481</v>
      </c>
      <c r="E141" s="16" t="s">
        <v>449</v>
      </c>
      <c r="F141" s="16" t="s">
        <v>864</v>
      </c>
      <c r="G141" s="16" t="s">
        <v>196</v>
      </c>
      <c r="H141" s="16" t="s">
        <v>1032</v>
      </c>
      <c r="I141" s="16"/>
      <c r="J141" s="16" t="s">
        <v>438</v>
      </c>
      <c r="K141" s="16" t="s">
        <v>232</v>
      </c>
      <c r="L141" s="25" t="s">
        <v>867</v>
      </c>
      <c r="M141" s="20" t="str">
        <f>IFERROR(VLOOKUP(C141,'Scenario Register'!$A$9:$D$200,4,FALSE()),"")</f>
        <v>Field Operations</v>
      </c>
      <c r="N141" s="20" t="str">
        <f>IFERROR(VLOOKUP(C141,'Scenario Register'!$A$9:$C$200,3,FALSE()),"")</f>
        <v>Work Allocation</v>
      </c>
    </row>
    <row r="142" spans="1:14" ht="25.5" x14ac:dyDescent="0.25">
      <c r="A142" s="16" t="s">
        <v>1033</v>
      </c>
      <c r="B142" s="17">
        <v>46079</v>
      </c>
      <c r="C142" s="16" t="s">
        <v>777</v>
      </c>
      <c r="D142" s="16" t="s">
        <v>252</v>
      </c>
      <c r="E142" s="16" t="s">
        <v>449</v>
      </c>
      <c r="F142" s="16" t="s">
        <v>864</v>
      </c>
      <c r="G142" s="16" t="s">
        <v>197</v>
      </c>
      <c r="H142" s="16"/>
      <c r="I142" s="16" t="s">
        <v>930</v>
      </c>
      <c r="J142" s="16" t="s">
        <v>438</v>
      </c>
      <c r="K142" s="16" t="s">
        <v>232</v>
      </c>
      <c r="L142" s="16" t="s">
        <v>885</v>
      </c>
      <c r="M142" s="20" t="str">
        <f>IFERROR(VLOOKUP(C142,'Scenario Register'!$A$9:$D$200,4,FALSE()),"")</f>
        <v>Finance &amp; Billing</v>
      </c>
      <c r="N142" s="20" t="str">
        <f>IFERROR(VLOOKUP(C142,'Scenario Register'!$A$9:$C$200,3,FALSE()),"")</f>
        <v>Adjustments</v>
      </c>
    </row>
    <row r="143" spans="1:14" ht="25.5" x14ac:dyDescent="0.25">
      <c r="A143" s="16" t="s">
        <v>1034</v>
      </c>
      <c r="B143" s="17">
        <v>46079</v>
      </c>
      <c r="C143" s="16" t="s">
        <v>819</v>
      </c>
      <c r="D143" s="16" t="s">
        <v>252</v>
      </c>
      <c r="E143" s="16" t="s">
        <v>436</v>
      </c>
      <c r="F143" s="16" t="s">
        <v>864</v>
      </c>
      <c r="G143" s="16" t="s">
        <v>195</v>
      </c>
      <c r="H143" s="16"/>
      <c r="I143" s="16"/>
      <c r="J143" s="16" t="s">
        <v>437</v>
      </c>
      <c r="K143" s="16" t="s">
        <v>865</v>
      </c>
      <c r="L143" s="16" t="s">
        <v>885</v>
      </c>
      <c r="M143" s="20" t="str">
        <f>IFERROR(VLOOKUP(C143,'Scenario Register'!$A$9:$D$200,4,FALSE()),"")</f>
        <v>Contact Centre</v>
      </c>
      <c r="N143" s="20" t="str">
        <f>IFERROR(VLOOKUP(C143,'Scenario Register'!$A$9:$C$200,3,FALSE()),"")</f>
        <v>Case Routing</v>
      </c>
    </row>
    <row r="144" spans="1:14" x14ac:dyDescent="0.25">
      <c r="A144" s="16" t="s">
        <v>1035</v>
      </c>
      <c r="B144" s="17">
        <v>46085</v>
      </c>
      <c r="C144" s="16" t="s">
        <v>850</v>
      </c>
      <c r="D144" s="16" t="s">
        <v>252</v>
      </c>
      <c r="E144" s="16" t="s">
        <v>436</v>
      </c>
      <c r="F144" s="16" t="s">
        <v>871</v>
      </c>
      <c r="G144" s="16" t="s">
        <v>198</v>
      </c>
      <c r="H144" s="16"/>
      <c r="I144" s="16"/>
      <c r="J144" s="16" t="s">
        <v>437</v>
      </c>
      <c r="K144" s="16" t="s">
        <v>865</v>
      </c>
      <c r="L144" s="16" t="s">
        <v>892</v>
      </c>
      <c r="M144" s="20" t="str">
        <f>IFERROR(VLOOKUP(C144,'Scenario Register'!$A$9:$D$200,4,FALSE()),"")</f>
        <v>Case Management</v>
      </c>
      <c r="N144" s="20" t="str">
        <f>IFERROR(VLOOKUP(C144,'Scenario Register'!$A$9:$C$200,3,FALSE()),"")</f>
        <v>Case Creation</v>
      </c>
    </row>
    <row r="145" spans="1:14" x14ac:dyDescent="0.25">
      <c r="A145" s="16" t="s">
        <v>1036</v>
      </c>
      <c r="B145" s="17">
        <v>46089</v>
      </c>
      <c r="C145" s="16" t="s">
        <v>771</v>
      </c>
      <c r="D145" s="16" t="s">
        <v>484</v>
      </c>
      <c r="E145" s="16" t="s">
        <v>436</v>
      </c>
      <c r="F145" s="16" t="s">
        <v>871</v>
      </c>
      <c r="G145" s="16" t="s">
        <v>198</v>
      </c>
      <c r="H145" s="16"/>
      <c r="I145" s="16"/>
      <c r="J145" s="16" t="s">
        <v>437</v>
      </c>
      <c r="K145" s="16" t="s">
        <v>865</v>
      </c>
      <c r="L145" s="16"/>
      <c r="M145" s="20" t="str">
        <f>IFERROR(VLOOKUP(C145,'Scenario Register'!$A$9:$D$200,4,FALSE()),"")</f>
        <v>Contact Centre</v>
      </c>
      <c r="N145" s="20" t="str">
        <f>IFERROR(VLOOKUP(C145,'Scenario Register'!$A$9:$C$200,3,FALSE()),"")</f>
        <v>Call Handling</v>
      </c>
    </row>
    <row r="146" spans="1:14" x14ac:dyDescent="0.25">
      <c r="A146" s="16" t="s">
        <v>1037</v>
      </c>
      <c r="B146" s="17">
        <v>46079</v>
      </c>
      <c r="C146" s="16" t="s">
        <v>842</v>
      </c>
      <c r="D146" s="16" t="s">
        <v>343</v>
      </c>
      <c r="E146" s="16" t="s">
        <v>449</v>
      </c>
      <c r="F146" s="16" t="s">
        <v>864</v>
      </c>
      <c r="G146" s="16" t="s">
        <v>196</v>
      </c>
      <c r="H146" s="16" t="s">
        <v>995</v>
      </c>
      <c r="I146" s="16"/>
      <c r="J146" s="16" t="s">
        <v>438</v>
      </c>
      <c r="K146" s="16" t="s">
        <v>875</v>
      </c>
      <c r="L146" s="16"/>
      <c r="M146" s="20" t="str">
        <f>IFERROR(VLOOKUP(C146,'Scenario Register'!$A$9:$D$200,4,FALSE()),"")</f>
        <v>Finance &amp; Billing</v>
      </c>
      <c r="N146" s="20" t="str">
        <f>IFERROR(VLOOKUP(C146,'Scenario Register'!$A$9:$C$200,3,FALSE()),"")</f>
        <v>Charges &amp; Payments</v>
      </c>
    </row>
    <row r="147" spans="1:14" ht="25.5" x14ac:dyDescent="0.25">
      <c r="A147" s="16" t="s">
        <v>1038</v>
      </c>
      <c r="B147" s="17">
        <v>46084</v>
      </c>
      <c r="C147" s="16" t="s">
        <v>826</v>
      </c>
      <c r="D147" s="16" t="s">
        <v>484</v>
      </c>
      <c r="E147" s="16" t="s">
        <v>449</v>
      </c>
      <c r="F147" s="16" t="s">
        <v>864</v>
      </c>
      <c r="G147" s="16" t="s">
        <v>195</v>
      </c>
      <c r="H147" s="16"/>
      <c r="I147" s="16"/>
      <c r="J147" s="16" t="s">
        <v>437</v>
      </c>
      <c r="K147" s="16" t="s">
        <v>865</v>
      </c>
      <c r="L147" s="25" t="s">
        <v>867</v>
      </c>
      <c r="M147" s="20" t="str">
        <f>IFERROR(VLOOKUP(C147,'Scenario Register'!$A$9:$D$200,4,FALSE()),"")</f>
        <v>Field Operations</v>
      </c>
      <c r="N147" s="20" t="str">
        <f>IFERROR(VLOOKUP(C147,'Scenario Register'!$A$9:$C$200,3,FALSE()),"")</f>
        <v>Work Allocation</v>
      </c>
    </row>
    <row r="148" spans="1:14" x14ac:dyDescent="0.25">
      <c r="A148" s="16" t="s">
        <v>1039</v>
      </c>
      <c r="B148" s="17">
        <v>46078</v>
      </c>
      <c r="C148" s="16" t="s">
        <v>801</v>
      </c>
      <c r="D148" s="16" t="s">
        <v>484</v>
      </c>
      <c r="E148" s="16" t="s">
        <v>449</v>
      </c>
      <c r="F148" s="16" t="s">
        <v>864</v>
      </c>
      <c r="G148" s="16" t="s">
        <v>198</v>
      </c>
      <c r="H148" s="16"/>
      <c r="I148" s="16"/>
      <c r="J148" s="16" t="s">
        <v>437</v>
      </c>
      <c r="K148" s="16" t="s">
        <v>865</v>
      </c>
      <c r="L148" s="16" t="s">
        <v>872</v>
      </c>
      <c r="M148" s="20" t="str">
        <f>IFERROR(VLOOKUP(C148,'Scenario Register'!$A$9:$D$200,4,FALSE()),"")</f>
        <v>Field Operations</v>
      </c>
      <c r="N148" s="20" t="str">
        <f>IFERROR(VLOOKUP(C148,'Scenario Register'!$A$9:$C$200,3,FALSE()),"")</f>
        <v>Mobile Updates</v>
      </c>
    </row>
    <row r="149" spans="1:14" ht="25.5" x14ac:dyDescent="0.25">
      <c r="A149" s="16" t="s">
        <v>1040</v>
      </c>
      <c r="B149" s="17">
        <v>46088</v>
      </c>
      <c r="C149" s="16" t="s">
        <v>832</v>
      </c>
      <c r="D149" s="16" t="s">
        <v>476</v>
      </c>
      <c r="E149" s="16" t="s">
        <v>449</v>
      </c>
      <c r="F149" s="16" t="s">
        <v>871</v>
      </c>
      <c r="G149" s="16" t="s">
        <v>198</v>
      </c>
      <c r="H149" s="16"/>
      <c r="I149" s="16"/>
      <c r="J149" s="16" t="s">
        <v>437</v>
      </c>
      <c r="K149" s="16" t="s">
        <v>865</v>
      </c>
      <c r="L149" s="25" t="s">
        <v>867</v>
      </c>
      <c r="M149" s="20" t="str">
        <f>IFERROR(VLOOKUP(C149,'Scenario Register'!$A$9:$D$200,4,FALSE()),"")</f>
        <v>Finance &amp; Billing</v>
      </c>
      <c r="N149" s="20" t="str">
        <f>IFERROR(VLOOKUP(C149,'Scenario Register'!$A$9:$C$200,3,FALSE()),"")</f>
        <v>Charges &amp; Payments</v>
      </c>
    </row>
    <row r="150" spans="1:14" ht="25.5" x14ac:dyDescent="0.25">
      <c r="A150" s="16" t="s">
        <v>1041</v>
      </c>
      <c r="B150" s="17">
        <v>46077</v>
      </c>
      <c r="C150" s="16" t="s">
        <v>797</v>
      </c>
      <c r="D150" s="16" t="s">
        <v>79</v>
      </c>
      <c r="E150" s="16" t="s">
        <v>458</v>
      </c>
      <c r="F150" s="16" t="s">
        <v>864</v>
      </c>
      <c r="G150" s="16" t="s">
        <v>197</v>
      </c>
      <c r="H150" s="16"/>
      <c r="I150" s="16" t="s">
        <v>902</v>
      </c>
      <c r="J150" s="16" t="s">
        <v>438</v>
      </c>
      <c r="K150" s="16" t="s">
        <v>103</v>
      </c>
      <c r="L150" s="16" t="s">
        <v>885</v>
      </c>
      <c r="M150" s="20" t="str">
        <f>IFERROR(VLOOKUP(C150,'Scenario Register'!$A$9:$D$200,4,FALSE()),"")</f>
        <v>Reporting &amp; MI</v>
      </c>
      <c r="N150" s="20" t="str">
        <f>IFERROR(VLOOKUP(C150,'Scenario Register'!$A$9:$C$200,3,FALSE()),"")</f>
        <v>Operational Reporting</v>
      </c>
    </row>
    <row r="151" spans="1:14" x14ac:dyDescent="0.25">
      <c r="A151" s="16" t="s">
        <v>1042</v>
      </c>
      <c r="B151" s="17">
        <v>46089</v>
      </c>
      <c r="C151" s="16" t="s">
        <v>840</v>
      </c>
      <c r="D151" s="16" t="s">
        <v>243</v>
      </c>
      <c r="E151" s="16" t="s">
        <v>436</v>
      </c>
      <c r="F151" s="16" t="s">
        <v>871</v>
      </c>
      <c r="G151" s="16" t="s">
        <v>195</v>
      </c>
      <c r="H151" s="16"/>
      <c r="I151" s="16"/>
      <c r="J151" s="16" t="s">
        <v>437</v>
      </c>
      <c r="K151" s="16" t="s">
        <v>865</v>
      </c>
      <c r="L151" s="16" t="s">
        <v>881</v>
      </c>
      <c r="M151" s="20" t="str">
        <f>IFERROR(VLOOKUP(C151,'Scenario Register'!$A$9:$D$200,4,FALSE()),"")</f>
        <v>Case Management</v>
      </c>
      <c r="N151" s="20" t="str">
        <f>IFERROR(VLOOKUP(C151,'Scenario Register'!$A$9:$C$200,3,FALSE()),"")</f>
        <v>Complaint Handling</v>
      </c>
    </row>
    <row r="152" spans="1:14" ht="25.5" x14ac:dyDescent="0.25">
      <c r="A152" s="16" t="s">
        <v>1043</v>
      </c>
      <c r="B152" s="17">
        <v>46082</v>
      </c>
      <c r="C152" s="16" t="s">
        <v>811</v>
      </c>
      <c r="D152" s="16" t="s">
        <v>460</v>
      </c>
      <c r="E152" s="16" t="s">
        <v>449</v>
      </c>
      <c r="F152" s="16" t="s">
        <v>864</v>
      </c>
      <c r="G152" s="16" t="s">
        <v>197</v>
      </c>
      <c r="H152" s="16"/>
      <c r="I152" s="16" t="s">
        <v>1044</v>
      </c>
      <c r="J152" s="16" t="s">
        <v>438</v>
      </c>
      <c r="K152" s="16" t="s">
        <v>875</v>
      </c>
      <c r="L152" s="25" t="s">
        <v>867</v>
      </c>
      <c r="M152" s="20" t="str">
        <f>IFERROR(VLOOKUP(C152,'Scenario Register'!$A$9:$D$200,4,FALSE()),"")</f>
        <v>Field Operations</v>
      </c>
      <c r="N152" s="20" t="str">
        <f>IFERROR(VLOOKUP(C152,'Scenario Register'!$A$9:$C$200,3,FALSE()),"")</f>
        <v>Mobile Updates</v>
      </c>
    </row>
    <row r="153" spans="1:14" x14ac:dyDescent="0.25">
      <c r="A153" s="16" t="s">
        <v>1045</v>
      </c>
      <c r="B153" s="17">
        <v>46091</v>
      </c>
      <c r="C153" s="16" t="s">
        <v>834</v>
      </c>
      <c r="D153" s="16" t="s">
        <v>484</v>
      </c>
      <c r="E153" s="16" t="s">
        <v>436</v>
      </c>
      <c r="F153" s="16" t="s">
        <v>871</v>
      </c>
      <c r="G153" s="16" t="s">
        <v>196</v>
      </c>
      <c r="H153" s="16" t="s">
        <v>1025</v>
      </c>
      <c r="I153" s="16"/>
      <c r="J153" s="16" t="s">
        <v>438</v>
      </c>
      <c r="K153" s="16" t="s">
        <v>875</v>
      </c>
      <c r="L153" s="16" t="s">
        <v>881</v>
      </c>
      <c r="M153" s="20" t="str">
        <f>IFERROR(VLOOKUP(C153,'Scenario Register'!$A$9:$D$200,4,FALSE()),"")</f>
        <v>Contact Centre</v>
      </c>
      <c r="N153" s="20" t="str">
        <f>IFERROR(VLOOKUP(C153,'Scenario Register'!$A$9:$C$200,3,FALSE()),"")</f>
        <v>Case Intake</v>
      </c>
    </row>
    <row r="154" spans="1:14" x14ac:dyDescent="0.25">
      <c r="A154" s="16" t="s">
        <v>1046</v>
      </c>
      <c r="B154" s="17">
        <v>46077</v>
      </c>
      <c r="C154" s="16" t="s">
        <v>806</v>
      </c>
      <c r="D154" s="16" t="s">
        <v>481</v>
      </c>
      <c r="E154" s="16" t="s">
        <v>449</v>
      </c>
      <c r="F154" s="16" t="s">
        <v>864</v>
      </c>
      <c r="G154" s="16" t="s">
        <v>198</v>
      </c>
      <c r="H154" s="16"/>
      <c r="I154" s="16"/>
      <c r="J154" s="16" t="s">
        <v>437</v>
      </c>
      <c r="K154" s="16" t="s">
        <v>865</v>
      </c>
      <c r="L154" s="16" t="s">
        <v>881</v>
      </c>
      <c r="M154" s="20" t="str">
        <f>IFERROR(VLOOKUP(C154,'Scenario Register'!$A$9:$D$200,4,FALSE()),"")</f>
        <v>Field Operations</v>
      </c>
      <c r="N154" s="20" t="str">
        <f>IFERROR(VLOOKUP(C154,'Scenario Register'!$A$9:$C$200,3,FALSE()),"")</f>
        <v>Work Allocation</v>
      </c>
    </row>
    <row r="155" spans="1:14" ht="25.5" x14ac:dyDescent="0.25">
      <c r="A155" s="16" t="s">
        <v>1047</v>
      </c>
      <c r="B155" s="17">
        <v>46081</v>
      </c>
      <c r="C155" s="16" t="s">
        <v>843</v>
      </c>
      <c r="D155" s="16" t="s">
        <v>460</v>
      </c>
      <c r="E155" s="16" t="s">
        <v>458</v>
      </c>
      <c r="F155" s="16" t="s">
        <v>864</v>
      </c>
      <c r="G155" s="16" t="s">
        <v>195</v>
      </c>
      <c r="H155" s="16"/>
      <c r="I155" s="16"/>
      <c r="J155" s="16" t="s">
        <v>437</v>
      </c>
      <c r="K155" s="16" t="s">
        <v>865</v>
      </c>
      <c r="L155" s="16"/>
      <c r="M155" s="20" t="str">
        <f>IFERROR(VLOOKUP(C155,'Scenario Register'!$A$9:$D$200,4,FALSE()),"")</f>
        <v>Reporting &amp; MI</v>
      </c>
      <c r="N155" s="20" t="str">
        <f>IFERROR(VLOOKUP(C155,'Scenario Register'!$A$9:$C$200,3,FALSE()),"")</f>
        <v>Regulatory Reporting</v>
      </c>
    </row>
    <row r="156" spans="1:14" x14ac:dyDescent="0.25">
      <c r="A156" s="16" t="s">
        <v>1048</v>
      </c>
      <c r="B156" s="17">
        <v>46087</v>
      </c>
      <c r="C156" s="16" t="s">
        <v>792</v>
      </c>
      <c r="D156" s="16" t="s">
        <v>343</v>
      </c>
      <c r="E156" s="16" t="s">
        <v>436</v>
      </c>
      <c r="F156" s="16" t="s">
        <v>871</v>
      </c>
      <c r="G156" s="16" t="s">
        <v>195</v>
      </c>
      <c r="H156" s="16"/>
      <c r="I156" s="16"/>
      <c r="J156" s="16" t="s">
        <v>437</v>
      </c>
      <c r="K156" s="16" t="s">
        <v>865</v>
      </c>
      <c r="L156" s="16" t="s">
        <v>881</v>
      </c>
      <c r="M156" s="20" t="str">
        <f>IFERROR(VLOOKUP(C156,'Scenario Register'!$A$9:$D$200,4,FALSE()),"")</f>
        <v>Contact Centre</v>
      </c>
      <c r="N156" s="20" t="str">
        <f>IFERROR(VLOOKUP(C156,'Scenario Register'!$A$9:$C$200,3,FALSE()),"")</f>
        <v>Case Intake</v>
      </c>
    </row>
    <row r="157" spans="1:14" ht="25.5" x14ac:dyDescent="0.25">
      <c r="A157" s="16" t="s">
        <v>1049</v>
      </c>
      <c r="B157" s="17">
        <v>46087</v>
      </c>
      <c r="C157" s="16" t="s">
        <v>755</v>
      </c>
      <c r="D157" s="16" t="s">
        <v>487</v>
      </c>
      <c r="E157" s="16" t="s">
        <v>458</v>
      </c>
      <c r="F157" s="16" t="s">
        <v>871</v>
      </c>
      <c r="G157" s="16" t="s">
        <v>195</v>
      </c>
      <c r="H157" s="16"/>
      <c r="I157" s="16"/>
      <c r="J157" s="16" t="s">
        <v>437</v>
      </c>
      <c r="K157" s="16" t="s">
        <v>865</v>
      </c>
      <c r="L157" s="16" t="s">
        <v>881</v>
      </c>
      <c r="M157" s="20" t="str">
        <f>IFERROR(VLOOKUP(C157,'Scenario Register'!$A$9:$D$200,4,FALSE()),"")</f>
        <v>Reporting &amp; MI</v>
      </c>
      <c r="N157" s="20" t="str">
        <f>IFERROR(VLOOKUP(C157,'Scenario Register'!$A$9:$C$200,3,FALSE()),"")</f>
        <v>Operational Reporting</v>
      </c>
    </row>
    <row r="158" spans="1:14" x14ac:dyDescent="0.25">
      <c r="A158" s="16" t="s">
        <v>1050</v>
      </c>
      <c r="B158" s="17">
        <v>46078</v>
      </c>
      <c r="C158" s="16" t="s">
        <v>805</v>
      </c>
      <c r="D158" s="16" t="s">
        <v>81</v>
      </c>
      <c r="E158" s="16" t="s">
        <v>436</v>
      </c>
      <c r="F158" s="16" t="s">
        <v>864</v>
      </c>
      <c r="G158" s="16" t="s">
        <v>195</v>
      </c>
      <c r="H158" s="16"/>
      <c r="I158" s="16"/>
      <c r="J158" s="16" t="s">
        <v>437</v>
      </c>
      <c r="K158" s="16" t="s">
        <v>865</v>
      </c>
      <c r="L158" s="16" t="s">
        <v>881</v>
      </c>
      <c r="M158" s="20" t="str">
        <f>IFERROR(VLOOKUP(C158,'Scenario Register'!$A$9:$D$200,4,FALSE()),"")</f>
        <v>Case Management</v>
      </c>
      <c r="N158" s="20" t="str">
        <f>IFERROR(VLOOKUP(C158,'Scenario Register'!$A$9:$C$200,3,FALSE()),"")</f>
        <v>Case Update</v>
      </c>
    </row>
  </sheetData>
  <autoFilter ref="A8:N158" xr:uid="{00000000-0009-0000-0000-00000E000000}"/>
  <mergeCells count="3">
    <mergeCell ref="A1:N1"/>
    <mergeCell ref="A2:N2"/>
    <mergeCell ref="A4:N6"/>
  </mergeCells>
  <conditionalFormatting sqref="G9:G158">
    <cfRule type="expression" dxfId="54" priority="2">
      <formula>$G9="Passed"</formula>
    </cfRule>
    <cfRule type="expression" dxfId="53" priority="3">
      <formula>$G9="Failed"</formula>
    </cfRule>
    <cfRule type="expression" dxfId="52" priority="4">
      <formula>$G9="Blocked"</formula>
    </cfRule>
    <cfRule type="expression" dxfId="51" priority="5">
      <formula>$G9="Deferred"</formula>
    </cfRule>
    <cfRule type="expression" dxfId="50" priority="6">
      <formula>$G9="In Progress"</formula>
    </cfRule>
  </conditionalFormatting>
  <conditionalFormatting sqref="J9:J158">
    <cfRule type="expression" dxfId="49" priority="7">
      <formula>$J9="Yes"</formula>
    </cfRule>
    <cfRule type="expression" dxfId="48" priority="8">
      <formula>$J9="No"</formula>
    </cfRule>
  </conditionalFormatting>
  <dataValidations count="5">
    <dataValidation type="list" allowBlank="1" sqref="D9:D158" xr:uid="{00000000-0002-0000-0E00-000000000000}">
      <formula1>Owners</formula1>
      <formula2>0</formula2>
    </dataValidation>
    <dataValidation type="list" allowBlank="1" sqref="E9:E158" xr:uid="{00000000-0002-0000-0E00-000001000000}">
      <formula1>Waves</formula1>
      <formula2>0</formula2>
    </dataValidation>
    <dataValidation type="list" allowBlank="1" sqref="G9:G158" xr:uid="{00000000-0002-0000-0E00-000002000000}">
      <formula1>ExecutionStatus</formula1>
      <formula2>0</formula2>
    </dataValidation>
    <dataValidation type="list" allowBlank="1" sqref="J9:J158" xr:uid="{00000000-0002-0000-0E00-000003000000}">
      <formula1>YesNo</formula1>
      <formula2>0</formula2>
    </dataValidation>
    <dataValidation type="list" allowBlank="1" sqref="K9:K158" xr:uid="{00000000-0002-0000-0E00-000004000000}">
      <formula1>RetestStatus</formula1>
      <formula2>0</formula2>
    </dataValidation>
  </dataValidations>
  <hyperlinks>
    <hyperlink ref="A3" r:id="rId1" location="'Start%20Here'!A1" xr:uid="{00000000-0004-0000-0E00-000000000000}"/>
    <hyperlink ref="B3" r:id="rId2" location="'UAT%20Overview'!A1" xr:uid="{00000000-0004-0000-0E00-000001000000}"/>
    <hyperlink ref="C3" r:id="rId3" location="'Executive%20Dashboard'!A1" xr:uid="{00000000-0004-0000-0E00-000002000000}"/>
    <hyperlink ref="D3" r:id="rId4" location="'Operational%20Dashboard'!A1" xr:uid="{00000000-0004-0000-0E00-000003000000}"/>
    <hyperlink ref="E3" r:id="rId5" location="'Readiness%20Checklist'!A1" xr:uid="{00000000-0004-0000-0E00-000004000000}"/>
  </hyperlinks>
  <pageMargins left="0.75" right="0.75" top="1" bottom="1"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43"/>
  <sheetViews>
    <sheetView zoomScaleNormal="100" workbookViewId="0">
      <pane ySplit="8" topLeftCell="A9" activePane="bottomLeft" state="frozen"/>
      <selection pane="bottomLeft" sqref="A1:X1"/>
    </sheetView>
  </sheetViews>
  <sheetFormatPr defaultColWidth="8.7109375" defaultRowHeight="15" customHeight="1" x14ac:dyDescent="0.25"/>
  <cols>
    <col min="1" max="1" width="12" customWidth="1"/>
    <col min="2" max="2" width="28" customWidth="1"/>
    <col min="3" max="3" width="36" customWidth="1"/>
    <col min="4" max="5" width="18" customWidth="1"/>
    <col min="6" max="6" width="12" customWidth="1"/>
    <col min="7" max="8" width="14" customWidth="1"/>
    <col min="9" max="9" width="10" customWidth="1"/>
    <col min="10" max="12" width="18" customWidth="1"/>
    <col min="13" max="16" width="14" customWidth="1"/>
    <col min="17" max="18" width="12" customWidth="1"/>
    <col min="19" max="19" width="16" customWidth="1"/>
    <col min="20" max="20" width="24" customWidth="1"/>
    <col min="21" max="21" width="22" customWidth="1"/>
    <col min="22" max="22" width="24" customWidth="1"/>
    <col min="23" max="23" width="12" customWidth="1"/>
    <col min="24" max="24" width="10" customWidth="1"/>
  </cols>
  <sheetData>
    <row r="1" spans="1:24" ht="25.5" customHeight="1" x14ac:dyDescent="0.25">
      <c r="A1" s="12" t="str">
        <f>'Branding &amp; Setup'!$B$9 &amp; " | Defect Log"</f>
        <v>Northbridge Citizens Services | Defect Log</v>
      </c>
      <c r="B1" s="12"/>
      <c r="C1" s="12"/>
      <c r="D1" s="12"/>
      <c r="E1" s="12"/>
      <c r="F1" s="12"/>
      <c r="G1" s="12"/>
      <c r="H1" s="12"/>
      <c r="I1" s="12"/>
      <c r="J1" s="12"/>
      <c r="K1" s="12"/>
      <c r="L1" s="12"/>
      <c r="M1" s="12"/>
      <c r="N1" s="12"/>
      <c r="O1" s="12"/>
      <c r="P1" s="12"/>
      <c r="Q1" s="12"/>
      <c r="R1" s="12"/>
      <c r="S1" s="12"/>
      <c r="T1" s="12"/>
      <c r="U1" s="12"/>
      <c r="V1" s="12"/>
      <c r="W1" s="12"/>
      <c r="X1" s="12"/>
    </row>
    <row r="2" spans="1:24"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c r="O2" s="11"/>
      <c r="P2" s="11"/>
      <c r="Q2" s="11"/>
      <c r="R2" s="11"/>
      <c r="S2" s="11"/>
      <c r="T2" s="11"/>
      <c r="U2" s="11"/>
      <c r="V2" s="11"/>
      <c r="W2" s="11"/>
      <c r="X2" s="11"/>
    </row>
    <row r="3" spans="1:24" ht="18" customHeight="1" x14ac:dyDescent="0.25">
      <c r="A3" s="13" t="s">
        <v>0</v>
      </c>
      <c r="B3" s="13" t="s">
        <v>1</v>
      </c>
      <c r="C3" s="13" t="s">
        <v>2</v>
      </c>
      <c r="D3" s="13" t="s">
        <v>3</v>
      </c>
      <c r="E3" s="13" t="s">
        <v>4</v>
      </c>
    </row>
    <row r="4" spans="1:24" ht="18" customHeight="1" x14ac:dyDescent="0.25">
      <c r="A4" s="10" t="s">
        <v>1051</v>
      </c>
      <c r="B4" s="10"/>
      <c r="C4" s="10"/>
      <c r="D4" s="10"/>
      <c r="E4" s="10"/>
      <c r="F4" s="10"/>
      <c r="G4" s="10"/>
      <c r="H4" s="10"/>
      <c r="I4" s="10"/>
      <c r="J4" s="10"/>
      <c r="K4" s="10"/>
      <c r="L4" s="10"/>
      <c r="M4" s="10"/>
      <c r="N4" s="10"/>
      <c r="O4" s="10"/>
      <c r="P4" s="10"/>
      <c r="Q4" s="10"/>
      <c r="R4" s="10"/>
      <c r="S4" s="10"/>
      <c r="T4" s="10"/>
      <c r="U4" s="10"/>
      <c r="V4" s="10"/>
      <c r="W4" s="10"/>
      <c r="X4" s="10"/>
    </row>
    <row r="5" spans="1:24" ht="18" customHeight="1" x14ac:dyDescent="0.25">
      <c r="A5" s="10"/>
      <c r="B5" s="10"/>
      <c r="C5" s="10"/>
      <c r="D5" s="10"/>
      <c r="E5" s="10"/>
      <c r="F5" s="10"/>
      <c r="G5" s="10"/>
      <c r="H5" s="10"/>
      <c r="I5" s="10"/>
      <c r="J5" s="10"/>
      <c r="K5" s="10"/>
      <c r="L5" s="10"/>
      <c r="M5" s="10"/>
      <c r="N5" s="10"/>
      <c r="O5" s="10"/>
      <c r="P5" s="10"/>
      <c r="Q5" s="10"/>
      <c r="R5" s="10"/>
      <c r="S5" s="10"/>
      <c r="T5" s="10"/>
      <c r="U5" s="10"/>
      <c r="V5" s="10"/>
      <c r="W5" s="10"/>
      <c r="X5" s="10"/>
    </row>
    <row r="6" spans="1:24" ht="18" customHeight="1" x14ac:dyDescent="0.25">
      <c r="A6" s="10"/>
      <c r="B6" s="10"/>
      <c r="C6" s="10"/>
      <c r="D6" s="10"/>
      <c r="E6" s="10"/>
      <c r="F6" s="10"/>
      <c r="G6" s="10"/>
      <c r="H6" s="10"/>
      <c r="I6" s="10"/>
      <c r="J6" s="10"/>
      <c r="K6" s="10"/>
      <c r="L6" s="10"/>
      <c r="M6" s="10"/>
      <c r="N6" s="10"/>
      <c r="O6" s="10"/>
      <c r="P6" s="10"/>
      <c r="Q6" s="10"/>
      <c r="R6" s="10"/>
      <c r="S6" s="10"/>
      <c r="T6" s="10"/>
      <c r="U6" s="10"/>
      <c r="V6" s="10"/>
      <c r="W6" s="10"/>
      <c r="X6" s="10"/>
    </row>
    <row r="8" spans="1:24" ht="25.5" x14ac:dyDescent="0.25">
      <c r="A8" s="21" t="s">
        <v>859</v>
      </c>
      <c r="B8" s="21" t="s">
        <v>1052</v>
      </c>
      <c r="C8" s="21" t="s">
        <v>223</v>
      </c>
      <c r="D8" s="21" t="s">
        <v>275</v>
      </c>
      <c r="E8" s="21" t="s">
        <v>274</v>
      </c>
      <c r="F8" s="21" t="s">
        <v>1053</v>
      </c>
      <c r="G8" s="21" t="s">
        <v>1054</v>
      </c>
      <c r="H8" s="21" t="s">
        <v>1055</v>
      </c>
      <c r="I8" s="21" t="s">
        <v>729</v>
      </c>
      <c r="J8" s="21" t="s">
        <v>151</v>
      </c>
      <c r="K8" s="21" t="s">
        <v>226</v>
      </c>
      <c r="L8" s="21" t="s">
        <v>1056</v>
      </c>
      <c r="M8" s="21" t="s">
        <v>1057</v>
      </c>
      <c r="N8" s="21" t="s">
        <v>1058</v>
      </c>
      <c r="O8" s="21" t="s">
        <v>1059</v>
      </c>
      <c r="P8" s="21" t="s">
        <v>1060</v>
      </c>
      <c r="Q8" s="21" t="s">
        <v>1061</v>
      </c>
      <c r="R8" s="21" t="s">
        <v>1062</v>
      </c>
      <c r="S8" s="21" t="s">
        <v>1063</v>
      </c>
      <c r="T8" s="21" t="s">
        <v>1064</v>
      </c>
      <c r="U8" s="21" t="s">
        <v>67</v>
      </c>
      <c r="V8" s="21" t="s">
        <v>154</v>
      </c>
      <c r="W8" s="21" t="s">
        <v>1065</v>
      </c>
      <c r="X8" s="21" t="s">
        <v>1066</v>
      </c>
    </row>
    <row r="9" spans="1:24" ht="38.25" x14ac:dyDescent="0.25">
      <c r="A9" s="16" t="s">
        <v>926</v>
      </c>
      <c r="B9" s="16" t="s">
        <v>1067</v>
      </c>
      <c r="C9" s="25" t="s">
        <v>1068</v>
      </c>
      <c r="D9" s="16" t="s">
        <v>310</v>
      </c>
      <c r="E9" s="16" t="s">
        <v>336</v>
      </c>
      <c r="F9" s="16" t="s">
        <v>833</v>
      </c>
      <c r="G9" s="16" t="s">
        <v>418</v>
      </c>
      <c r="H9" s="16" t="s">
        <v>1069</v>
      </c>
      <c r="I9" s="16" t="s">
        <v>1070</v>
      </c>
      <c r="J9" s="16" t="s">
        <v>1071</v>
      </c>
      <c r="K9" s="16" t="s">
        <v>456</v>
      </c>
      <c r="L9" s="16" t="s">
        <v>1072</v>
      </c>
      <c r="M9" s="17">
        <v>46078</v>
      </c>
      <c r="N9" s="17">
        <v>46085</v>
      </c>
      <c r="O9" s="17">
        <v>46086</v>
      </c>
      <c r="P9" s="17">
        <v>46088</v>
      </c>
      <c r="Q9" s="26">
        <f>IF(J9="Closed",IF(O9="",0,O9-M9),'Branding &amp; Setup'!$B$12-M9)</f>
        <v>8</v>
      </c>
      <c r="R9" s="27" t="str">
        <f>IF(AND(J9&lt;&gt;"Closed",J9&lt;&gt;"Rejected",'Branding &amp; Setup'!$B$12&gt;N9),"Yes","No")</f>
        <v>No</v>
      </c>
      <c r="S9" s="16" t="s">
        <v>1073</v>
      </c>
      <c r="T9" s="25" t="s">
        <v>1074</v>
      </c>
      <c r="U9" s="16" t="s">
        <v>458</v>
      </c>
      <c r="V9" s="16"/>
      <c r="W9" s="27" t="str">
        <f t="shared" ref="W9:W43" si="0">IF(Q9&lt;=2,"0-2 days",IF(Q9&lt;=5,"3-5 days",IF(Q9&lt;=10,"6-10 days","11+ days")))</f>
        <v>6-10 days</v>
      </c>
      <c r="X9" s="27" t="str">
        <f t="shared" ref="X9:X43" si="1">IF(OR(J9="Closed",J9="Rejected"),"No","Yes")</f>
        <v>No</v>
      </c>
    </row>
    <row r="10" spans="1:24" ht="38.25" x14ac:dyDescent="0.25">
      <c r="A10" s="16" t="s">
        <v>1075</v>
      </c>
      <c r="B10" s="25" t="s">
        <v>1076</v>
      </c>
      <c r="C10" s="25" t="s">
        <v>1077</v>
      </c>
      <c r="D10" s="16" t="s">
        <v>304</v>
      </c>
      <c r="E10" s="16" t="s">
        <v>303</v>
      </c>
      <c r="F10" s="16" t="s">
        <v>827</v>
      </c>
      <c r="G10" s="16" t="s">
        <v>399</v>
      </c>
      <c r="H10" s="16" t="s">
        <v>1078</v>
      </c>
      <c r="I10" s="16" t="s">
        <v>1079</v>
      </c>
      <c r="J10" s="16" t="s">
        <v>1080</v>
      </c>
      <c r="K10" s="16" t="s">
        <v>456</v>
      </c>
      <c r="L10" s="16" t="s">
        <v>1081</v>
      </c>
      <c r="M10" s="17">
        <v>46089</v>
      </c>
      <c r="N10" s="17">
        <v>46096</v>
      </c>
      <c r="O10" s="16"/>
      <c r="P10" s="16"/>
      <c r="Q10" s="26">
        <f>IF(J10="Closed",IF(O10="",0,O10-M10),'Branding &amp; Setup'!$B$12-M10)</f>
        <v>4</v>
      </c>
      <c r="R10" s="27" t="str">
        <f>IF(AND(J10&lt;&gt;"Closed",J10&lt;&gt;"Rejected",'Branding &amp; Setup'!$B$12&gt;N10),"Yes","No")</f>
        <v>No</v>
      </c>
      <c r="S10" s="16" t="s">
        <v>1082</v>
      </c>
      <c r="T10" s="25" t="s">
        <v>1083</v>
      </c>
      <c r="U10" s="16" t="s">
        <v>449</v>
      </c>
      <c r="V10" s="16"/>
      <c r="W10" s="27" t="str">
        <f t="shared" si="0"/>
        <v>3-5 days</v>
      </c>
      <c r="X10" s="27" t="str">
        <f t="shared" si="1"/>
        <v>Yes</v>
      </c>
    </row>
    <row r="11" spans="1:24" ht="38.25" x14ac:dyDescent="0.25">
      <c r="A11" s="16" t="s">
        <v>1084</v>
      </c>
      <c r="B11" s="25" t="s">
        <v>1085</v>
      </c>
      <c r="C11" s="25" t="s">
        <v>1086</v>
      </c>
      <c r="D11" s="16" t="s">
        <v>297</v>
      </c>
      <c r="E11" s="16" t="s">
        <v>326</v>
      </c>
      <c r="F11" s="16" t="s">
        <v>762</v>
      </c>
      <c r="G11" s="16" t="s">
        <v>325</v>
      </c>
      <c r="H11" s="16" t="s">
        <v>1087</v>
      </c>
      <c r="I11" s="16" t="s">
        <v>1088</v>
      </c>
      <c r="J11" s="16" t="s">
        <v>1089</v>
      </c>
      <c r="K11" s="16" t="s">
        <v>269</v>
      </c>
      <c r="L11" s="16" t="s">
        <v>1090</v>
      </c>
      <c r="M11" s="17">
        <v>46082</v>
      </c>
      <c r="N11" s="17">
        <v>46086</v>
      </c>
      <c r="O11" s="17">
        <v>46086</v>
      </c>
      <c r="P11" s="16"/>
      <c r="Q11" s="26">
        <f>IF(J11="Closed",IF(O11="",0,O11-M11),'Branding &amp; Setup'!$B$12-M11)</f>
        <v>11</v>
      </c>
      <c r="R11" s="27" t="str">
        <f>IF(AND(J11&lt;&gt;"Closed",J11&lt;&gt;"Rejected",'Branding &amp; Setup'!$B$12&gt;N11),"Yes","No")</f>
        <v>Yes</v>
      </c>
      <c r="S11" s="16" t="s">
        <v>1091</v>
      </c>
      <c r="T11" s="25" t="s">
        <v>1074</v>
      </c>
      <c r="U11" s="16" t="s">
        <v>449</v>
      </c>
      <c r="V11" s="16" t="s">
        <v>1092</v>
      </c>
      <c r="W11" s="27" t="str">
        <f t="shared" si="0"/>
        <v>11+ days</v>
      </c>
      <c r="X11" s="27" t="str">
        <f t="shared" si="1"/>
        <v>Yes</v>
      </c>
    </row>
    <row r="12" spans="1:24" ht="38.25" x14ac:dyDescent="0.25">
      <c r="A12" s="16" t="s">
        <v>880</v>
      </c>
      <c r="B12" s="25" t="s">
        <v>1093</v>
      </c>
      <c r="C12" s="25" t="s">
        <v>1094</v>
      </c>
      <c r="D12" s="16" t="s">
        <v>291</v>
      </c>
      <c r="E12" s="16" t="s">
        <v>321</v>
      </c>
      <c r="F12" s="16" t="s">
        <v>799</v>
      </c>
      <c r="G12" s="16" t="s">
        <v>408</v>
      </c>
      <c r="H12" s="16" t="s">
        <v>1069</v>
      </c>
      <c r="I12" s="16" t="s">
        <v>1070</v>
      </c>
      <c r="J12" s="16" t="s">
        <v>1080</v>
      </c>
      <c r="K12" s="16" t="s">
        <v>252</v>
      </c>
      <c r="L12" s="16" t="s">
        <v>1095</v>
      </c>
      <c r="M12" s="17">
        <v>46084</v>
      </c>
      <c r="N12" s="17">
        <v>46086</v>
      </c>
      <c r="O12" s="16"/>
      <c r="P12" s="16"/>
      <c r="Q12" s="26">
        <f>IF(J12="Closed",IF(O12="",0,O12-M12),'Branding &amp; Setup'!$B$12-M12)</f>
        <v>9</v>
      </c>
      <c r="R12" s="27" t="str">
        <f>IF(AND(J12&lt;&gt;"Closed",J12&lt;&gt;"Rejected",'Branding &amp; Setup'!$B$12&gt;N12),"Yes","No")</f>
        <v>Yes</v>
      </c>
      <c r="S12" s="16" t="s">
        <v>1096</v>
      </c>
      <c r="T12" s="25" t="s">
        <v>1097</v>
      </c>
      <c r="U12" s="16" t="s">
        <v>436</v>
      </c>
      <c r="V12" s="16"/>
      <c r="W12" s="27" t="str">
        <f t="shared" si="0"/>
        <v>6-10 days</v>
      </c>
      <c r="X12" s="27" t="str">
        <f t="shared" si="1"/>
        <v>Yes</v>
      </c>
    </row>
    <row r="13" spans="1:24" ht="38.25" x14ac:dyDescent="0.25">
      <c r="A13" s="16" t="s">
        <v>913</v>
      </c>
      <c r="B13" s="16" t="s">
        <v>1067</v>
      </c>
      <c r="C13" s="25" t="s">
        <v>1098</v>
      </c>
      <c r="D13" s="16" t="s">
        <v>304</v>
      </c>
      <c r="E13" s="16" t="s">
        <v>382</v>
      </c>
      <c r="F13" s="16" t="s">
        <v>852</v>
      </c>
      <c r="G13" s="16" t="s">
        <v>381</v>
      </c>
      <c r="H13" s="16" t="s">
        <v>1069</v>
      </c>
      <c r="I13" s="16" t="s">
        <v>1070</v>
      </c>
      <c r="J13" s="16" t="s">
        <v>1099</v>
      </c>
      <c r="K13" s="16" t="s">
        <v>81</v>
      </c>
      <c r="L13" s="16" t="s">
        <v>1100</v>
      </c>
      <c r="M13" s="17">
        <v>46086</v>
      </c>
      <c r="N13" s="17">
        <v>46088</v>
      </c>
      <c r="O13" s="16"/>
      <c r="P13" s="16"/>
      <c r="Q13" s="26">
        <f>IF(J13="Closed",IF(O13="",0,O13-M13),'Branding &amp; Setup'!$B$12-M13)</f>
        <v>7</v>
      </c>
      <c r="R13" s="27" t="str">
        <f>IF(AND(J13&lt;&gt;"Closed",J13&lt;&gt;"Rejected",'Branding &amp; Setup'!$B$12&gt;N13),"Yes","No")</f>
        <v>Yes</v>
      </c>
      <c r="S13" s="16" t="s">
        <v>1091</v>
      </c>
      <c r="T13" s="16" t="s">
        <v>1101</v>
      </c>
      <c r="U13" s="16" t="s">
        <v>449</v>
      </c>
      <c r="V13" s="16"/>
      <c r="W13" s="27" t="str">
        <f t="shared" si="0"/>
        <v>6-10 days</v>
      </c>
      <c r="X13" s="27" t="str">
        <f t="shared" si="1"/>
        <v>Yes</v>
      </c>
    </row>
    <row r="14" spans="1:24" ht="38.25" x14ac:dyDescent="0.25">
      <c r="A14" s="16" t="s">
        <v>965</v>
      </c>
      <c r="B14" s="25" t="s">
        <v>1093</v>
      </c>
      <c r="C14" s="25" t="s">
        <v>1102</v>
      </c>
      <c r="D14" s="16" t="s">
        <v>310</v>
      </c>
      <c r="E14" s="16" t="s">
        <v>387</v>
      </c>
      <c r="F14" s="16" t="s">
        <v>823</v>
      </c>
      <c r="G14" s="16" t="s">
        <v>386</v>
      </c>
      <c r="H14" s="16" t="s">
        <v>1103</v>
      </c>
      <c r="I14" s="16" t="s">
        <v>1104</v>
      </c>
      <c r="J14" s="16" t="s">
        <v>1071</v>
      </c>
      <c r="K14" s="16" t="s">
        <v>81</v>
      </c>
      <c r="L14" s="16" t="s">
        <v>1095</v>
      </c>
      <c r="M14" s="17">
        <v>46083</v>
      </c>
      <c r="N14" s="17">
        <v>46090</v>
      </c>
      <c r="O14" s="17">
        <v>46091</v>
      </c>
      <c r="P14" s="17">
        <v>46092</v>
      </c>
      <c r="Q14" s="26">
        <f>IF(J14="Closed",IF(O14="",0,O14-M14),'Branding &amp; Setup'!$B$12-M14)</f>
        <v>8</v>
      </c>
      <c r="R14" s="27" t="str">
        <f>IF(AND(J14&lt;&gt;"Closed",J14&lt;&gt;"Rejected",'Branding &amp; Setup'!$B$12&gt;N14),"Yes","No")</f>
        <v>No</v>
      </c>
      <c r="S14" s="16" t="s">
        <v>1096</v>
      </c>
      <c r="T14" s="25" t="s">
        <v>1097</v>
      </c>
      <c r="U14" s="16" t="s">
        <v>458</v>
      </c>
      <c r="V14" s="16"/>
      <c r="W14" s="27" t="str">
        <f t="shared" si="0"/>
        <v>6-10 days</v>
      </c>
      <c r="X14" s="27" t="str">
        <f t="shared" si="1"/>
        <v>No</v>
      </c>
    </row>
    <row r="15" spans="1:24" ht="38.25" x14ac:dyDescent="0.25">
      <c r="A15" s="16" t="s">
        <v>1105</v>
      </c>
      <c r="B15" s="16" t="s">
        <v>1106</v>
      </c>
      <c r="C15" s="25" t="s">
        <v>1107</v>
      </c>
      <c r="D15" s="16" t="s">
        <v>297</v>
      </c>
      <c r="E15" s="16" t="s">
        <v>296</v>
      </c>
      <c r="F15" s="16" t="s">
        <v>748</v>
      </c>
      <c r="G15" s="16" t="s">
        <v>295</v>
      </c>
      <c r="H15" s="16" t="s">
        <v>1103</v>
      </c>
      <c r="I15" s="16" t="s">
        <v>1104</v>
      </c>
      <c r="J15" s="16" t="s">
        <v>1071</v>
      </c>
      <c r="K15" s="16" t="s">
        <v>81</v>
      </c>
      <c r="L15" s="16" t="s">
        <v>1100</v>
      </c>
      <c r="M15" s="17">
        <v>46078</v>
      </c>
      <c r="N15" s="17">
        <v>46079</v>
      </c>
      <c r="O15" s="17">
        <v>46081</v>
      </c>
      <c r="P15" s="17">
        <v>46084</v>
      </c>
      <c r="Q15" s="26">
        <f>IF(J15="Closed",IF(O15="",0,O15-M15),'Branding &amp; Setup'!$B$12-M15)</f>
        <v>3</v>
      </c>
      <c r="R15" s="27" t="str">
        <f>IF(AND(J15&lt;&gt;"Closed",J15&lt;&gt;"Rejected",'Branding &amp; Setup'!$B$12&gt;N15),"Yes","No")</f>
        <v>No</v>
      </c>
      <c r="S15" s="16" t="s">
        <v>1073</v>
      </c>
      <c r="T15" s="16" t="s">
        <v>1101</v>
      </c>
      <c r="U15" s="16" t="s">
        <v>449</v>
      </c>
      <c r="V15" s="16"/>
      <c r="W15" s="27" t="str">
        <f t="shared" si="0"/>
        <v>3-5 days</v>
      </c>
      <c r="X15" s="27" t="str">
        <f t="shared" si="1"/>
        <v>No</v>
      </c>
    </row>
    <row r="16" spans="1:24" ht="38.25" x14ac:dyDescent="0.25">
      <c r="A16" s="16" t="s">
        <v>1108</v>
      </c>
      <c r="B16" s="16" t="s">
        <v>1109</v>
      </c>
      <c r="C16" s="25" t="s">
        <v>1110</v>
      </c>
      <c r="D16" s="16" t="s">
        <v>304</v>
      </c>
      <c r="E16" s="16" t="s">
        <v>382</v>
      </c>
      <c r="F16" s="16" t="s">
        <v>822</v>
      </c>
      <c r="G16" s="16" t="s">
        <v>381</v>
      </c>
      <c r="H16" s="16" t="s">
        <v>1087</v>
      </c>
      <c r="I16" s="16" t="s">
        <v>1088</v>
      </c>
      <c r="J16" s="16" t="s">
        <v>1089</v>
      </c>
      <c r="K16" s="16" t="s">
        <v>269</v>
      </c>
      <c r="L16" s="16" t="s">
        <v>1072</v>
      </c>
      <c r="M16" s="17">
        <v>46084</v>
      </c>
      <c r="N16" s="17">
        <v>46086</v>
      </c>
      <c r="O16" s="17">
        <v>46089</v>
      </c>
      <c r="P16" s="16"/>
      <c r="Q16" s="26">
        <f>IF(J16="Closed",IF(O16="",0,O16-M16),'Branding &amp; Setup'!$B$12-M16)</f>
        <v>9</v>
      </c>
      <c r="R16" s="27" t="str">
        <f>IF(AND(J16&lt;&gt;"Closed",J16&lt;&gt;"Rejected",'Branding &amp; Setup'!$B$12&gt;N16),"Yes","No")</f>
        <v>Yes</v>
      </c>
      <c r="S16" s="16" t="s">
        <v>541</v>
      </c>
      <c r="T16" s="25" t="s">
        <v>1083</v>
      </c>
      <c r="U16" s="16" t="s">
        <v>449</v>
      </c>
      <c r="V16" s="16" t="s">
        <v>1092</v>
      </c>
      <c r="W16" s="27" t="str">
        <f t="shared" si="0"/>
        <v>6-10 days</v>
      </c>
      <c r="X16" s="27" t="str">
        <f t="shared" si="1"/>
        <v>Yes</v>
      </c>
    </row>
    <row r="17" spans="1:24" ht="38.25" x14ac:dyDescent="0.25">
      <c r="A17" s="16" t="s">
        <v>1111</v>
      </c>
      <c r="B17" s="25" t="s">
        <v>1112</v>
      </c>
      <c r="C17" s="25" t="s">
        <v>1113</v>
      </c>
      <c r="D17" s="16" t="s">
        <v>291</v>
      </c>
      <c r="E17" s="16" t="s">
        <v>290</v>
      </c>
      <c r="F17" s="16" t="s">
        <v>835</v>
      </c>
      <c r="G17" s="16" t="s">
        <v>289</v>
      </c>
      <c r="H17" s="16" t="s">
        <v>1069</v>
      </c>
      <c r="I17" s="16" t="s">
        <v>1070</v>
      </c>
      <c r="J17" s="16" t="s">
        <v>1114</v>
      </c>
      <c r="K17" s="16" t="s">
        <v>243</v>
      </c>
      <c r="L17" s="16" t="s">
        <v>1115</v>
      </c>
      <c r="M17" s="17">
        <v>46081</v>
      </c>
      <c r="N17" s="17">
        <v>46089</v>
      </c>
      <c r="O17" s="16"/>
      <c r="P17" s="16"/>
      <c r="Q17" s="26">
        <f>IF(J17="Closed",IF(O17="",0,O17-M17),'Branding &amp; Setup'!$B$12-M17)</f>
        <v>12</v>
      </c>
      <c r="R17" s="27" t="str">
        <f>IF(AND(J17&lt;&gt;"Closed",J17&lt;&gt;"Rejected",'Branding &amp; Setup'!$B$12&gt;N17),"Yes","No")</f>
        <v>No</v>
      </c>
      <c r="S17" s="16" t="s">
        <v>1073</v>
      </c>
      <c r="T17" s="25" t="s">
        <v>1083</v>
      </c>
      <c r="U17" s="16" t="s">
        <v>436</v>
      </c>
      <c r="V17" s="16"/>
      <c r="W17" s="27" t="str">
        <f t="shared" si="0"/>
        <v>11+ days</v>
      </c>
      <c r="X17" s="27" t="str">
        <f t="shared" si="1"/>
        <v>No</v>
      </c>
    </row>
    <row r="18" spans="1:24" ht="38.25" x14ac:dyDescent="0.25">
      <c r="A18" s="16" t="s">
        <v>1116</v>
      </c>
      <c r="B18" s="25" t="s">
        <v>1112</v>
      </c>
      <c r="C18" s="25" t="s">
        <v>1117</v>
      </c>
      <c r="D18" s="16" t="s">
        <v>283</v>
      </c>
      <c r="E18" s="16" t="s">
        <v>282</v>
      </c>
      <c r="F18" s="16" t="s">
        <v>740</v>
      </c>
      <c r="G18" s="16" t="s">
        <v>281</v>
      </c>
      <c r="H18" s="16" t="s">
        <v>1103</v>
      </c>
      <c r="I18" s="16" t="s">
        <v>1104</v>
      </c>
      <c r="J18" s="16" t="s">
        <v>1071</v>
      </c>
      <c r="K18" s="16" t="s">
        <v>243</v>
      </c>
      <c r="L18" s="16" t="s">
        <v>1095</v>
      </c>
      <c r="M18" s="17">
        <v>46078</v>
      </c>
      <c r="N18" s="17">
        <v>46083</v>
      </c>
      <c r="O18" s="17">
        <v>46086</v>
      </c>
      <c r="P18" s="17">
        <v>46087</v>
      </c>
      <c r="Q18" s="26">
        <f>IF(J18="Closed",IF(O18="",0,O18-M18),'Branding &amp; Setup'!$B$12-M18)</f>
        <v>8</v>
      </c>
      <c r="R18" s="27" t="str">
        <f>IF(AND(J18&lt;&gt;"Closed",J18&lt;&gt;"Rejected",'Branding &amp; Setup'!$B$12&gt;N18),"Yes","No")</f>
        <v>No</v>
      </c>
      <c r="S18" s="16" t="s">
        <v>168</v>
      </c>
      <c r="T18" s="25" t="s">
        <v>1118</v>
      </c>
      <c r="U18" s="16" t="s">
        <v>436</v>
      </c>
      <c r="V18" s="16"/>
      <c r="W18" s="27" t="str">
        <f t="shared" si="0"/>
        <v>6-10 days</v>
      </c>
      <c r="X18" s="27" t="str">
        <f t="shared" si="1"/>
        <v>No</v>
      </c>
    </row>
    <row r="19" spans="1:24" ht="38.25" x14ac:dyDescent="0.25">
      <c r="A19" s="16" t="s">
        <v>971</v>
      </c>
      <c r="B19" s="25" t="s">
        <v>1119</v>
      </c>
      <c r="C19" s="25" t="s">
        <v>1120</v>
      </c>
      <c r="D19" s="16" t="s">
        <v>283</v>
      </c>
      <c r="E19" s="16" t="s">
        <v>367</v>
      </c>
      <c r="F19" s="16" t="s">
        <v>819</v>
      </c>
      <c r="G19" s="16" t="s">
        <v>366</v>
      </c>
      <c r="H19" s="16" t="s">
        <v>1078</v>
      </c>
      <c r="I19" s="16" t="s">
        <v>1079</v>
      </c>
      <c r="J19" s="16" t="s">
        <v>1089</v>
      </c>
      <c r="K19" s="16" t="s">
        <v>456</v>
      </c>
      <c r="L19" s="16" t="s">
        <v>1115</v>
      </c>
      <c r="M19" s="17">
        <v>46082</v>
      </c>
      <c r="N19" s="17">
        <v>46085</v>
      </c>
      <c r="O19" s="17">
        <v>46088</v>
      </c>
      <c r="P19" s="16"/>
      <c r="Q19" s="26">
        <f>IF(J19="Closed",IF(O19="",0,O19-M19),'Branding &amp; Setup'!$B$12-M19)</f>
        <v>11</v>
      </c>
      <c r="R19" s="27" t="str">
        <f>IF(AND(J19&lt;&gt;"Closed",J19&lt;&gt;"Rejected",'Branding &amp; Setup'!$B$12&gt;N19),"Yes","No")</f>
        <v>Yes</v>
      </c>
      <c r="S19" s="16" t="s">
        <v>1096</v>
      </c>
      <c r="T19" s="16" t="s">
        <v>1101</v>
      </c>
      <c r="U19" s="16" t="s">
        <v>436</v>
      </c>
      <c r="V19" s="16"/>
      <c r="W19" s="27" t="str">
        <f t="shared" si="0"/>
        <v>11+ days</v>
      </c>
      <c r="X19" s="27" t="str">
        <f t="shared" si="1"/>
        <v>Yes</v>
      </c>
    </row>
    <row r="20" spans="1:24" ht="38.25" x14ac:dyDescent="0.25">
      <c r="A20" s="16" t="s">
        <v>1121</v>
      </c>
      <c r="B20" s="25" t="s">
        <v>1119</v>
      </c>
      <c r="C20" s="25" t="s">
        <v>1122</v>
      </c>
      <c r="D20" s="16" t="s">
        <v>304</v>
      </c>
      <c r="E20" s="16" t="s">
        <v>331</v>
      </c>
      <c r="F20" s="16" t="s">
        <v>812</v>
      </c>
      <c r="G20" s="16" t="s">
        <v>330</v>
      </c>
      <c r="H20" s="16" t="s">
        <v>1103</v>
      </c>
      <c r="I20" s="16" t="s">
        <v>1104</v>
      </c>
      <c r="J20" s="16" t="s">
        <v>1071</v>
      </c>
      <c r="K20" s="16" t="s">
        <v>252</v>
      </c>
      <c r="L20" s="16" t="s">
        <v>1100</v>
      </c>
      <c r="M20" s="17">
        <v>46081</v>
      </c>
      <c r="N20" s="17">
        <v>46082</v>
      </c>
      <c r="O20" s="17">
        <v>46083</v>
      </c>
      <c r="P20" s="17">
        <v>46084</v>
      </c>
      <c r="Q20" s="26">
        <f>IF(J20="Closed",IF(O20="",0,O20-M20),'Branding &amp; Setup'!$B$12-M20)</f>
        <v>2</v>
      </c>
      <c r="R20" s="27" t="str">
        <f>IF(AND(J20&lt;&gt;"Closed",J20&lt;&gt;"Rejected",'Branding &amp; Setup'!$B$12&gt;N20),"Yes","No")</f>
        <v>No</v>
      </c>
      <c r="S20" s="16" t="s">
        <v>1123</v>
      </c>
      <c r="T20" s="25" t="s">
        <v>1083</v>
      </c>
      <c r="U20" s="16" t="s">
        <v>449</v>
      </c>
      <c r="V20" s="16"/>
      <c r="W20" s="27" t="str">
        <f t="shared" si="0"/>
        <v>0-2 days</v>
      </c>
      <c r="X20" s="27" t="str">
        <f t="shared" si="1"/>
        <v>No</v>
      </c>
    </row>
    <row r="21" spans="1:24" ht="38.25" x14ac:dyDescent="0.25">
      <c r="A21" s="16" t="s">
        <v>1124</v>
      </c>
      <c r="B21" s="25" t="s">
        <v>1076</v>
      </c>
      <c r="C21" s="25" t="s">
        <v>1125</v>
      </c>
      <c r="D21" s="16" t="s">
        <v>310</v>
      </c>
      <c r="E21" s="16" t="s">
        <v>362</v>
      </c>
      <c r="F21" s="16" t="s">
        <v>848</v>
      </c>
      <c r="G21" s="16" t="s">
        <v>361</v>
      </c>
      <c r="H21" s="16" t="s">
        <v>1069</v>
      </c>
      <c r="I21" s="16" t="s">
        <v>1070</v>
      </c>
      <c r="J21" s="16" t="s">
        <v>1071</v>
      </c>
      <c r="K21" s="16" t="s">
        <v>252</v>
      </c>
      <c r="L21" s="16" t="s">
        <v>1095</v>
      </c>
      <c r="M21" s="17">
        <v>46084</v>
      </c>
      <c r="N21" s="17">
        <v>46092</v>
      </c>
      <c r="O21" s="17">
        <v>46092</v>
      </c>
      <c r="P21" s="17">
        <v>46093</v>
      </c>
      <c r="Q21" s="26">
        <f>IF(J21="Closed",IF(O21="",0,O21-M21),'Branding &amp; Setup'!$B$12-M21)</f>
        <v>8</v>
      </c>
      <c r="R21" s="27" t="str">
        <f>IF(AND(J21&lt;&gt;"Closed",J21&lt;&gt;"Rejected",'Branding &amp; Setup'!$B$12&gt;N21),"Yes","No")</f>
        <v>No</v>
      </c>
      <c r="S21" s="16" t="s">
        <v>1123</v>
      </c>
      <c r="T21" s="25" t="s">
        <v>1097</v>
      </c>
      <c r="U21" s="16" t="s">
        <v>458</v>
      </c>
      <c r="V21" s="16"/>
      <c r="W21" s="27" t="str">
        <f t="shared" si="0"/>
        <v>6-10 days</v>
      </c>
      <c r="X21" s="27" t="str">
        <f t="shared" si="1"/>
        <v>No</v>
      </c>
    </row>
    <row r="22" spans="1:24" ht="38.25" x14ac:dyDescent="0.25">
      <c r="A22" s="16" t="s">
        <v>954</v>
      </c>
      <c r="B22" s="25" t="s">
        <v>1126</v>
      </c>
      <c r="C22" s="25" t="s">
        <v>1127</v>
      </c>
      <c r="D22" s="16" t="s">
        <v>283</v>
      </c>
      <c r="E22" s="16" t="s">
        <v>367</v>
      </c>
      <c r="F22" s="16" t="s">
        <v>849</v>
      </c>
      <c r="G22" s="16" t="s">
        <v>366</v>
      </c>
      <c r="H22" s="16" t="s">
        <v>1078</v>
      </c>
      <c r="I22" s="16" t="s">
        <v>1079</v>
      </c>
      <c r="J22" s="16" t="s">
        <v>1071</v>
      </c>
      <c r="K22" s="16" t="s">
        <v>456</v>
      </c>
      <c r="L22" s="16" t="s">
        <v>1095</v>
      </c>
      <c r="M22" s="17">
        <v>46084</v>
      </c>
      <c r="N22" s="17">
        <v>46090</v>
      </c>
      <c r="O22" s="17">
        <v>46093</v>
      </c>
      <c r="P22" s="17">
        <v>46096</v>
      </c>
      <c r="Q22" s="26">
        <f>IF(J22="Closed",IF(O22="",0,O22-M22),'Branding &amp; Setup'!$B$12-M22)</f>
        <v>9</v>
      </c>
      <c r="R22" s="27" t="str">
        <f>IF(AND(J22&lt;&gt;"Closed",J22&lt;&gt;"Rejected",'Branding &amp; Setup'!$B$12&gt;N22),"Yes","No")</f>
        <v>No</v>
      </c>
      <c r="S22" s="16" t="s">
        <v>1082</v>
      </c>
      <c r="T22" s="16" t="s">
        <v>1101</v>
      </c>
      <c r="U22" s="16" t="s">
        <v>436</v>
      </c>
      <c r="V22" s="16"/>
      <c r="W22" s="27" t="str">
        <f t="shared" si="0"/>
        <v>6-10 days</v>
      </c>
      <c r="X22" s="27" t="str">
        <f t="shared" si="1"/>
        <v>No</v>
      </c>
    </row>
    <row r="23" spans="1:24" ht="38.25" x14ac:dyDescent="0.25">
      <c r="A23" s="16" t="s">
        <v>942</v>
      </c>
      <c r="B23" s="16" t="s">
        <v>1109</v>
      </c>
      <c r="C23" s="25" t="s">
        <v>1128</v>
      </c>
      <c r="D23" s="16" t="s">
        <v>304</v>
      </c>
      <c r="E23" s="16" t="s">
        <v>331</v>
      </c>
      <c r="F23" s="16" t="s">
        <v>802</v>
      </c>
      <c r="G23" s="16" t="s">
        <v>415</v>
      </c>
      <c r="H23" s="16" t="s">
        <v>1078</v>
      </c>
      <c r="I23" s="16" t="s">
        <v>1079</v>
      </c>
      <c r="J23" s="16" t="s">
        <v>1080</v>
      </c>
      <c r="K23" s="16" t="s">
        <v>243</v>
      </c>
      <c r="L23" s="16" t="s">
        <v>1095</v>
      </c>
      <c r="M23" s="17">
        <v>46078</v>
      </c>
      <c r="N23" s="17">
        <v>46082</v>
      </c>
      <c r="O23" s="16"/>
      <c r="P23" s="16"/>
      <c r="Q23" s="26">
        <f>IF(J23="Closed",IF(O23="",0,O23-M23),'Branding &amp; Setup'!$B$12-M23)</f>
        <v>15</v>
      </c>
      <c r="R23" s="27" t="str">
        <f>IF(AND(J23&lt;&gt;"Closed",J23&lt;&gt;"Rejected",'Branding &amp; Setup'!$B$12&gt;N23),"Yes","No")</f>
        <v>Yes</v>
      </c>
      <c r="S23" s="16" t="s">
        <v>541</v>
      </c>
      <c r="T23" s="25" t="s">
        <v>1074</v>
      </c>
      <c r="U23" s="16" t="s">
        <v>449</v>
      </c>
      <c r="V23" s="16"/>
      <c r="W23" s="27" t="str">
        <f t="shared" si="0"/>
        <v>11+ days</v>
      </c>
      <c r="X23" s="27" t="str">
        <f t="shared" si="1"/>
        <v>Yes</v>
      </c>
    </row>
    <row r="24" spans="1:24" ht="38.25" x14ac:dyDescent="0.25">
      <c r="A24" s="16" t="s">
        <v>874</v>
      </c>
      <c r="B24" s="25" t="s">
        <v>1076</v>
      </c>
      <c r="C24" s="25" t="s">
        <v>1129</v>
      </c>
      <c r="D24" s="16" t="s">
        <v>297</v>
      </c>
      <c r="E24" s="16" t="s">
        <v>296</v>
      </c>
      <c r="F24" s="16" t="s">
        <v>836</v>
      </c>
      <c r="G24" s="16" t="s">
        <v>295</v>
      </c>
      <c r="H24" s="16" t="s">
        <v>1078</v>
      </c>
      <c r="I24" s="16" t="s">
        <v>1079</v>
      </c>
      <c r="J24" s="16" t="s">
        <v>1071</v>
      </c>
      <c r="K24" s="16" t="s">
        <v>456</v>
      </c>
      <c r="L24" s="16" t="s">
        <v>1090</v>
      </c>
      <c r="M24" s="17">
        <v>46081</v>
      </c>
      <c r="N24" s="17">
        <v>46086</v>
      </c>
      <c r="O24" s="17">
        <v>46086</v>
      </c>
      <c r="P24" s="17">
        <v>46087</v>
      </c>
      <c r="Q24" s="26">
        <f>IF(J24="Closed",IF(O24="",0,O24-M24),'Branding &amp; Setup'!$B$12-M24)</f>
        <v>5</v>
      </c>
      <c r="R24" s="27" t="str">
        <f>IF(AND(J24&lt;&gt;"Closed",J24&lt;&gt;"Rejected",'Branding &amp; Setup'!$B$12&gt;N24),"Yes","No")</f>
        <v>No</v>
      </c>
      <c r="S24" s="16" t="s">
        <v>1096</v>
      </c>
      <c r="T24" s="25" t="s">
        <v>1097</v>
      </c>
      <c r="U24" s="16" t="s">
        <v>449</v>
      </c>
      <c r="V24" s="16"/>
      <c r="W24" s="27" t="str">
        <f t="shared" si="0"/>
        <v>3-5 days</v>
      </c>
      <c r="X24" s="27" t="str">
        <f t="shared" si="1"/>
        <v>No</v>
      </c>
    </row>
    <row r="25" spans="1:24" ht="38.25" x14ac:dyDescent="0.25">
      <c r="A25" s="16" t="s">
        <v>919</v>
      </c>
      <c r="B25" s="25" t="s">
        <v>1126</v>
      </c>
      <c r="C25" s="25" t="s">
        <v>1130</v>
      </c>
      <c r="D25" s="16" t="s">
        <v>283</v>
      </c>
      <c r="E25" s="16" t="s">
        <v>316</v>
      </c>
      <c r="F25" s="16" t="s">
        <v>839</v>
      </c>
      <c r="G25" s="16" t="s">
        <v>315</v>
      </c>
      <c r="H25" s="16" t="s">
        <v>1087</v>
      </c>
      <c r="I25" s="16" t="s">
        <v>1088</v>
      </c>
      <c r="J25" s="16" t="s">
        <v>1089</v>
      </c>
      <c r="K25" s="16" t="s">
        <v>269</v>
      </c>
      <c r="L25" s="16" t="s">
        <v>1095</v>
      </c>
      <c r="M25" s="17">
        <v>46081</v>
      </c>
      <c r="N25" s="17">
        <v>46082</v>
      </c>
      <c r="O25" s="17">
        <v>46082</v>
      </c>
      <c r="P25" s="16"/>
      <c r="Q25" s="26">
        <f>IF(J25="Closed",IF(O25="",0,O25-M25),'Branding &amp; Setup'!$B$12-M25)</f>
        <v>12</v>
      </c>
      <c r="R25" s="27" t="str">
        <f>IF(AND(J25&lt;&gt;"Closed",J25&lt;&gt;"Rejected",'Branding &amp; Setup'!$B$12&gt;N25),"Yes","No")</f>
        <v>Yes</v>
      </c>
      <c r="S25" s="16" t="s">
        <v>1082</v>
      </c>
      <c r="T25" s="16" t="s">
        <v>1101</v>
      </c>
      <c r="U25" s="16" t="s">
        <v>436</v>
      </c>
      <c r="V25" s="16" t="s">
        <v>1092</v>
      </c>
      <c r="W25" s="27" t="str">
        <f t="shared" si="0"/>
        <v>11+ days</v>
      </c>
      <c r="X25" s="27" t="str">
        <f t="shared" si="1"/>
        <v>Yes</v>
      </c>
    </row>
    <row r="26" spans="1:24" ht="38.25" x14ac:dyDescent="0.25">
      <c r="A26" s="16" t="s">
        <v>929</v>
      </c>
      <c r="B26" s="25" t="s">
        <v>1112</v>
      </c>
      <c r="C26" s="25" t="s">
        <v>1131</v>
      </c>
      <c r="D26" s="16" t="s">
        <v>297</v>
      </c>
      <c r="E26" s="16" t="s">
        <v>377</v>
      </c>
      <c r="F26" s="16" t="s">
        <v>785</v>
      </c>
      <c r="G26" s="16" t="s">
        <v>376</v>
      </c>
      <c r="H26" s="16" t="s">
        <v>1078</v>
      </c>
      <c r="I26" s="16" t="s">
        <v>1079</v>
      </c>
      <c r="J26" s="16" t="s">
        <v>1099</v>
      </c>
      <c r="K26" s="16" t="s">
        <v>456</v>
      </c>
      <c r="L26" s="16" t="s">
        <v>1090</v>
      </c>
      <c r="M26" s="17">
        <v>46081</v>
      </c>
      <c r="N26" s="17">
        <v>46089</v>
      </c>
      <c r="O26" s="16"/>
      <c r="P26" s="16"/>
      <c r="Q26" s="26">
        <f>IF(J26="Closed",IF(O26="",0,O26-M26),'Branding &amp; Setup'!$B$12-M26)</f>
        <v>12</v>
      </c>
      <c r="R26" s="27" t="str">
        <f>IF(AND(J26&lt;&gt;"Closed",J26&lt;&gt;"Rejected",'Branding &amp; Setup'!$B$12&gt;N26),"Yes","No")</f>
        <v>Yes</v>
      </c>
      <c r="S26" s="16" t="s">
        <v>1091</v>
      </c>
      <c r="T26" s="25" t="s">
        <v>1083</v>
      </c>
      <c r="U26" s="16" t="s">
        <v>449</v>
      </c>
      <c r="V26" s="16"/>
      <c r="W26" s="27" t="str">
        <f t="shared" si="0"/>
        <v>11+ days</v>
      </c>
      <c r="X26" s="27" t="str">
        <f t="shared" si="1"/>
        <v>Yes</v>
      </c>
    </row>
    <row r="27" spans="1:24" ht="38.25" x14ac:dyDescent="0.25">
      <c r="A27" s="16" t="s">
        <v>948</v>
      </c>
      <c r="B27" s="25" t="s">
        <v>1132</v>
      </c>
      <c r="C27" s="25" t="s">
        <v>1133</v>
      </c>
      <c r="D27" s="16" t="s">
        <v>297</v>
      </c>
      <c r="E27" s="16" t="s">
        <v>326</v>
      </c>
      <c r="F27" s="16" t="s">
        <v>801</v>
      </c>
      <c r="G27" s="16" t="s">
        <v>410</v>
      </c>
      <c r="H27" s="16" t="s">
        <v>1078</v>
      </c>
      <c r="I27" s="16" t="s">
        <v>1079</v>
      </c>
      <c r="J27" s="16" t="s">
        <v>1071</v>
      </c>
      <c r="K27" s="16" t="s">
        <v>81</v>
      </c>
      <c r="L27" s="16" t="s">
        <v>1090</v>
      </c>
      <c r="M27" s="17">
        <v>46078</v>
      </c>
      <c r="N27" s="17">
        <v>46080</v>
      </c>
      <c r="O27" s="17">
        <v>46083</v>
      </c>
      <c r="P27" s="17">
        <v>46085</v>
      </c>
      <c r="Q27" s="26">
        <f>IF(J27="Closed",IF(O27="",0,O27-M27),'Branding &amp; Setup'!$B$12-M27)</f>
        <v>5</v>
      </c>
      <c r="R27" s="27" t="str">
        <f>IF(AND(J27&lt;&gt;"Closed",J27&lt;&gt;"Rejected",'Branding &amp; Setup'!$B$12&gt;N27),"Yes","No")</f>
        <v>No</v>
      </c>
      <c r="S27" s="16" t="s">
        <v>541</v>
      </c>
      <c r="T27" s="25" t="s">
        <v>1118</v>
      </c>
      <c r="U27" s="16" t="s">
        <v>449</v>
      </c>
      <c r="V27" s="16"/>
      <c r="W27" s="27" t="str">
        <f t="shared" si="0"/>
        <v>3-5 days</v>
      </c>
      <c r="X27" s="27" t="str">
        <f t="shared" si="1"/>
        <v>No</v>
      </c>
    </row>
    <row r="28" spans="1:24" ht="38.25" x14ac:dyDescent="0.25">
      <c r="A28" s="16" t="s">
        <v>1134</v>
      </c>
      <c r="B28" s="25" t="s">
        <v>1132</v>
      </c>
      <c r="C28" s="25" t="s">
        <v>1135</v>
      </c>
      <c r="D28" s="16" t="s">
        <v>291</v>
      </c>
      <c r="E28" s="16" t="s">
        <v>290</v>
      </c>
      <c r="F28" s="16" t="s">
        <v>805</v>
      </c>
      <c r="G28" s="16" t="s">
        <v>289</v>
      </c>
      <c r="H28" s="16" t="s">
        <v>1103</v>
      </c>
      <c r="I28" s="16" t="s">
        <v>1104</v>
      </c>
      <c r="J28" s="16" t="s">
        <v>1114</v>
      </c>
      <c r="K28" s="16" t="s">
        <v>252</v>
      </c>
      <c r="L28" s="16" t="s">
        <v>1100</v>
      </c>
      <c r="M28" s="17">
        <v>46078</v>
      </c>
      <c r="N28" s="17">
        <v>46082</v>
      </c>
      <c r="O28" s="16"/>
      <c r="P28" s="16"/>
      <c r="Q28" s="26">
        <f>IF(J28="Closed",IF(O28="",0,O28-M28),'Branding &amp; Setup'!$B$12-M28)</f>
        <v>15</v>
      </c>
      <c r="R28" s="27" t="str">
        <f>IF(AND(J28&lt;&gt;"Closed",J28&lt;&gt;"Rejected",'Branding &amp; Setup'!$B$12&gt;N28),"Yes","No")</f>
        <v>No</v>
      </c>
      <c r="S28" s="16" t="s">
        <v>1123</v>
      </c>
      <c r="T28" s="25" t="s">
        <v>1118</v>
      </c>
      <c r="U28" s="16" t="s">
        <v>436</v>
      </c>
      <c r="V28" s="16"/>
      <c r="W28" s="27" t="str">
        <f t="shared" si="0"/>
        <v>11+ days</v>
      </c>
      <c r="X28" s="27" t="str">
        <f t="shared" si="1"/>
        <v>No</v>
      </c>
    </row>
    <row r="29" spans="1:24" ht="38.25" x14ac:dyDescent="0.25">
      <c r="A29" s="16" t="s">
        <v>995</v>
      </c>
      <c r="B29" s="25" t="s">
        <v>1076</v>
      </c>
      <c r="C29" s="25" t="s">
        <v>1136</v>
      </c>
      <c r="D29" s="16" t="s">
        <v>291</v>
      </c>
      <c r="E29" s="16" t="s">
        <v>290</v>
      </c>
      <c r="F29" s="16" t="s">
        <v>744</v>
      </c>
      <c r="G29" s="16" t="s">
        <v>289</v>
      </c>
      <c r="H29" s="16" t="s">
        <v>1069</v>
      </c>
      <c r="I29" s="16" t="s">
        <v>1070</v>
      </c>
      <c r="J29" s="16" t="s">
        <v>1089</v>
      </c>
      <c r="K29" s="16" t="s">
        <v>243</v>
      </c>
      <c r="L29" s="16" t="s">
        <v>1081</v>
      </c>
      <c r="M29" s="17">
        <v>46084</v>
      </c>
      <c r="N29" s="17">
        <v>46089</v>
      </c>
      <c r="O29" s="17">
        <v>46092</v>
      </c>
      <c r="P29" s="16"/>
      <c r="Q29" s="26">
        <f>IF(J29="Closed",IF(O29="",0,O29-M29),'Branding &amp; Setup'!$B$12-M29)</f>
        <v>9</v>
      </c>
      <c r="R29" s="27" t="str">
        <f>IF(AND(J29&lt;&gt;"Closed",J29&lt;&gt;"Rejected",'Branding &amp; Setup'!$B$12&gt;N29),"Yes","No")</f>
        <v>Yes</v>
      </c>
      <c r="S29" s="16" t="s">
        <v>249</v>
      </c>
      <c r="T29" s="25" t="s">
        <v>1118</v>
      </c>
      <c r="U29" s="16" t="s">
        <v>436</v>
      </c>
      <c r="V29" s="16"/>
      <c r="W29" s="27" t="str">
        <f t="shared" si="0"/>
        <v>6-10 days</v>
      </c>
      <c r="X29" s="27" t="str">
        <f t="shared" si="1"/>
        <v>Yes</v>
      </c>
    </row>
    <row r="30" spans="1:24" ht="38.25" x14ac:dyDescent="0.25">
      <c r="A30" s="16" t="s">
        <v>1137</v>
      </c>
      <c r="B30" s="25" t="s">
        <v>1132</v>
      </c>
      <c r="C30" s="25" t="s">
        <v>1138</v>
      </c>
      <c r="D30" s="16" t="s">
        <v>310</v>
      </c>
      <c r="E30" s="16" t="s">
        <v>309</v>
      </c>
      <c r="F30" s="16" t="s">
        <v>797</v>
      </c>
      <c r="G30" s="16" t="s">
        <v>401</v>
      </c>
      <c r="H30" s="16" t="s">
        <v>1103</v>
      </c>
      <c r="I30" s="16" t="s">
        <v>1104</v>
      </c>
      <c r="J30" s="16" t="s">
        <v>1080</v>
      </c>
      <c r="K30" s="16" t="s">
        <v>269</v>
      </c>
      <c r="L30" s="16" t="s">
        <v>1090</v>
      </c>
      <c r="M30" s="17">
        <v>46080</v>
      </c>
      <c r="N30" s="17">
        <v>46085</v>
      </c>
      <c r="O30" s="16"/>
      <c r="P30" s="16"/>
      <c r="Q30" s="26">
        <f>IF(J30="Closed",IF(O30="",0,O30-M30),'Branding &amp; Setup'!$B$12-M30)</f>
        <v>13</v>
      </c>
      <c r="R30" s="27" t="str">
        <f>IF(AND(J30&lt;&gt;"Closed",J30&lt;&gt;"Rejected",'Branding &amp; Setup'!$B$12&gt;N30),"Yes","No")</f>
        <v>Yes</v>
      </c>
      <c r="S30" s="16" t="s">
        <v>249</v>
      </c>
      <c r="T30" s="25" t="s">
        <v>1097</v>
      </c>
      <c r="U30" s="16" t="s">
        <v>458</v>
      </c>
      <c r="V30" s="16"/>
      <c r="W30" s="27" t="str">
        <f t="shared" si="0"/>
        <v>11+ days</v>
      </c>
      <c r="X30" s="27" t="str">
        <f t="shared" si="1"/>
        <v>Yes</v>
      </c>
    </row>
    <row r="31" spans="1:24" ht="38.25" x14ac:dyDescent="0.25">
      <c r="A31" s="16" t="s">
        <v>1032</v>
      </c>
      <c r="B31" s="25" t="s">
        <v>1085</v>
      </c>
      <c r="C31" s="25" t="s">
        <v>1139</v>
      </c>
      <c r="D31" s="16" t="s">
        <v>291</v>
      </c>
      <c r="E31" s="16" t="s">
        <v>290</v>
      </c>
      <c r="F31" s="16" t="s">
        <v>793</v>
      </c>
      <c r="G31" s="16" t="s">
        <v>393</v>
      </c>
      <c r="H31" s="16" t="s">
        <v>1078</v>
      </c>
      <c r="I31" s="16" t="s">
        <v>1079</v>
      </c>
      <c r="J31" s="16" t="s">
        <v>1089</v>
      </c>
      <c r="K31" s="16" t="s">
        <v>456</v>
      </c>
      <c r="L31" s="16" t="s">
        <v>1095</v>
      </c>
      <c r="M31" s="17">
        <v>46088</v>
      </c>
      <c r="N31" s="17">
        <v>46096</v>
      </c>
      <c r="O31" s="17">
        <v>46098</v>
      </c>
      <c r="P31" s="16"/>
      <c r="Q31" s="26">
        <f>IF(J31="Closed",IF(O31="",0,O31-M31),'Branding &amp; Setup'!$B$12-M31)</f>
        <v>5</v>
      </c>
      <c r="R31" s="27" t="str">
        <f>IF(AND(J31&lt;&gt;"Closed",J31&lt;&gt;"Rejected",'Branding &amp; Setup'!$B$12&gt;N31),"Yes","No")</f>
        <v>No</v>
      </c>
      <c r="S31" s="16" t="s">
        <v>1096</v>
      </c>
      <c r="T31" s="25" t="s">
        <v>1097</v>
      </c>
      <c r="U31" s="16" t="s">
        <v>436</v>
      </c>
      <c r="V31" s="16"/>
      <c r="W31" s="27" t="str">
        <f t="shared" si="0"/>
        <v>3-5 days</v>
      </c>
      <c r="X31" s="27" t="str">
        <f t="shared" si="1"/>
        <v>Yes</v>
      </c>
    </row>
    <row r="32" spans="1:24" ht="38.25" x14ac:dyDescent="0.25">
      <c r="A32" s="16" t="s">
        <v>1140</v>
      </c>
      <c r="B32" s="25" t="s">
        <v>1093</v>
      </c>
      <c r="C32" s="25" t="s">
        <v>1141</v>
      </c>
      <c r="D32" s="16" t="s">
        <v>297</v>
      </c>
      <c r="E32" s="16" t="s">
        <v>352</v>
      </c>
      <c r="F32" s="16" t="s">
        <v>816</v>
      </c>
      <c r="G32" s="16" t="s">
        <v>351</v>
      </c>
      <c r="H32" s="16" t="s">
        <v>1069</v>
      </c>
      <c r="I32" s="16" t="s">
        <v>1070</v>
      </c>
      <c r="J32" s="16" t="s">
        <v>1089</v>
      </c>
      <c r="K32" s="16" t="s">
        <v>252</v>
      </c>
      <c r="L32" s="16" t="s">
        <v>1081</v>
      </c>
      <c r="M32" s="17">
        <v>46087</v>
      </c>
      <c r="N32" s="17">
        <v>46091</v>
      </c>
      <c r="O32" s="17">
        <v>46093</v>
      </c>
      <c r="P32" s="16"/>
      <c r="Q32" s="26">
        <f>IF(J32="Closed",IF(O32="",0,O32-M32),'Branding &amp; Setup'!$B$12-M32)</f>
        <v>6</v>
      </c>
      <c r="R32" s="27" t="str">
        <f>IF(AND(J32&lt;&gt;"Closed",J32&lt;&gt;"Rejected",'Branding &amp; Setup'!$B$12&gt;N32),"Yes","No")</f>
        <v>Yes</v>
      </c>
      <c r="S32" s="16" t="s">
        <v>1123</v>
      </c>
      <c r="T32" s="25" t="s">
        <v>1097</v>
      </c>
      <c r="U32" s="16" t="s">
        <v>449</v>
      </c>
      <c r="V32" s="16"/>
      <c r="W32" s="27" t="str">
        <f t="shared" si="0"/>
        <v>6-10 days</v>
      </c>
      <c r="X32" s="27" t="str">
        <f t="shared" si="1"/>
        <v>Yes</v>
      </c>
    </row>
    <row r="33" spans="1:24" ht="38.25" x14ac:dyDescent="0.25">
      <c r="A33" s="16" t="s">
        <v>963</v>
      </c>
      <c r="B33" s="25" t="s">
        <v>1085</v>
      </c>
      <c r="C33" s="25" t="s">
        <v>1142</v>
      </c>
      <c r="D33" s="16" t="s">
        <v>304</v>
      </c>
      <c r="E33" s="16" t="s">
        <v>357</v>
      </c>
      <c r="F33" s="16" t="s">
        <v>817</v>
      </c>
      <c r="G33" s="16" t="s">
        <v>356</v>
      </c>
      <c r="H33" s="16" t="s">
        <v>1069</v>
      </c>
      <c r="I33" s="16" t="s">
        <v>1070</v>
      </c>
      <c r="J33" s="16" t="s">
        <v>1114</v>
      </c>
      <c r="K33" s="16" t="s">
        <v>456</v>
      </c>
      <c r="L33" s="16" t="s">
        <v>1100</v>
      </c>
      <c r="M33" s="17">
        <v>46079</v>
      </c>
      <c r="N33" s="17">
        <v>46081</v>
      </c>
      <c r="O33" s="16"/>
      <c r="P33" s="16"/>
      <c r="Q33" s="26">
        <f>IF(J33="Closed",IF(O33="",0,O33-M33),'Branding &amp; Setup'!$B$12-M33)</f>
        <v>14</v>
      </c>
      <c r="R33" s="27" t="str">
        <f>IF(AND(J33&lt;&gt;"Closed",J33&lt;&gt;"Rejected",'Branding &amp; Setup'!$B$12&gt;N33),"Yes","No")</f>
        <v>No</v>
      </c>
      <c r="S33" s="16" t="s">
        <v>1096</v>
      </c>
      <c r="T33" s="25" t="s">
        <v>1097</v>
      </c>
      <c r="U33" s="16" t="s">
        <v>449</v>
      </c>
      <c r="V33" s="16"/>
      <c r="W33" s="27" t="str">
        <f t="shared" si="0"/>
        <v>11+ days</v>
      </c>
      <c r="X33" s="27" t="str">
        <f t="shared" si="1"/>
        <v>No</v>
      </c>
    </row>
    <row r="34" spans="1:24" ht="38.25" x14ac:dyDescent="0.25">
      <c r="A34" s="16" t="s">
        <v>1143</v>
      </c>
      <c r="B34" s="25" t="s">
        <v>1126</v>
      </c>
      <c r="C34" s="25" t="s">
        <v>1144</v>
      </c>
      <c r="D34" s="16" t="s">
        <v>291</v>
      </c>
      <c r="E34" s="16" t="s">
        <v>290</v>
      </c>
      <c r="F34" s="16" t="s">
        <v>825</v>
      </c>
      <c r="G34" s="16" t="s">
        <v>393</v>
      </c>
      <c r="H34" s="16" t="s">
        <v>1069</v>
      </c>
      <c r="I34" s="16" t="s">
        <v>1070</v>
      </c>
      <c r="J34" s="16" t="s">
        <v>1089</v>
      </c>
      <c r="K34" s="16" t="s">
        <v>252</v>
      </c>
      <c r="L34" s="16" t="s">
        <v>1072</v>
      </c>
      <c r="M34" s="17">
        <v>46081</v>
      </c>
      <c r="N34" s="17">
        <v>46088</v>
      </c>
      <c r="O34" s="17">
        <v>46090</v>
      </c>
      <c r="P34" s="16"/>
      <c r="Q34" s="26">
        <f>IF(J34="Closed",IF(O34="",0,O34-M34),'Branding &amp; Setup'!$B$12-M34)</f>
        <v>12</v>
      </c>
      <c r="R34" s="27" t="str">
        <f>IF(AND(J34&lt;&gt;"Closed",J34&lt;&gt;"Rejected",'Branding &amp; Setup'!$B$12&gt;N34),"Yes","No")</f>
        <v>Yes</v>
      </c>
      <c r="S34" s="16" t="s">
        <v>249</v>
      </c>
      <c r="T34" s="25" t="s">
        <v>1118</v>
      </c>
      <c r="U34" s="16" t="s">
        <v>436</v>
      </c>
      <c r="V34" s="16"/>
      <c r="W34" s="27" t="str">
        <f t="shared" si="0"/>
        <v>11+ days</v>
      </c>
      <c r="X34" s="27" t="str">
        <f t="shared" si="1"/>
        <v>Yes</v>
      </c>
    </row>
    <row r="35" spans="1:24" ht="38.25" x14ac:dyDescent="0.25">
      <c r="A35" s="16" t="s">
        <v>1009</v>
      </c>
      <c r="B35" s="25" t="s">
        <v>1132</v>
      </c>
      <c r="C35" s="25" t="s">
        <v>1145</v>
      </c>
      <c r="D35" s="16" t="s">
        <v>283</v>
      </c>
      <c r="E35" s="16" t="s">
        <v>316</v>
      </c>
      <c r="F35" s="16" t="s">
        <v>798</v>
      </c>
      <c r="G35" s="16" t="s">
        <v>405</v>
      </c>
      <c r="H35" s="16" t="s">
        <v>1069</v>
      </c>
      <c r="I35" s="16" t="s">
        <v>1070</v>
      </c>
      <c r="J35" s="16" t="s">
        <v>1071</v>
      </c>
      <c r="K35" s="16" t="s">
        <v>243</v>
      </c>
      <c r="L35" s="16" t="s">
        <v>1100</v>
      </c>
      <c r="M35" s="17">
        <v>46088</v>
      </c>
      <c r="N35" s="17">
        <v>46094</v>
      </c>
      <c r="O35" s="17">
        <v>46096</v>
      </c>
      <c r="P35" s="17">
        <v>46097</v>
      </c>
      <c r="Q35" s="26">
        <f>IF(J35="Closed",IF(O35="",0,O35-M35),'Branding &amp; Setup'!$B$12-M35)</f>
        <v>8</v>
      </c>
      <c r="R35" s="27" t="str">
        <f>IF(AND(J35&lt;&gt;"Closed",J35&lt;&gt;"Rejected",'Branding &amp; Setup'!$B$12&gt;N35),"Yes","No")</f>
        <v>No</v>
      </c>
      <c r="S35" s="16" t="s">
        <v>1091</v>
      </c>
      <c r="T35" s="25" t="s">
        <v>1097</v>
      </c>
      <c r="U35" s="16" t="s">
        <v>436</v>
      </c>
      <c r="V35" s="16"/>
      <c r="W35" s="27" t="str">
        <f t="shared" si="0"/>
        <v>6-10 days</v>
      </c>
      <c r="X35" s="27" t="str">
        <f t="shared" si="1"/>
        <v>No</v>
      </c>
    </row>
    <row r="36" spans="1:24" ht="38.25" x14ac:dyDescent="0.25">
      <c r="A36" s="16" t="s">
        <v>1146</v>
      </c>
      <c r="B36" s="25" t="s">
        <v>1126</v>
      </c>
      <c r="C36" s="25" t="s">
        <v>1147</v>
      </c>
      <c r="D36" s="16" t="s">
        <v>291</v>
      </c>
      <c r="E36" s="16" t="s">
        <v>372</v>
      </c>
      <c r="F36" s="16" t="s">
        <v>820</v>
      </c>
      <c r="G36" s="16" t="s">
        <v>371</v>
      </c>
      <c r="H36" s="16" t="s">
        <v>1103</v>
      </c>
      <c r="I36" s="16" t="s">
        <v>1104</v>
      </c>
      <c r="J36" s="16" t="s">
        <v>1071</v>
      </c>
      <c r="K36" s="16" t="s">
        <v>456</v>
      </c>
      <c r="L36" s="16" t="s">
        <v>1090</v>
      </c>
      <c r="M36" s="17">
        <v>46081</v>
      </c>
      <c r="N36" s="17">
        <v>46082</v>
      </c>
      <c r="O36" s="17">
        <v>46083</v>
      </c>
      <c r="P36" s="17">
        <v>46085</v>
      </c>
      <c r="Q36" s="26">
        <f>IF(J36="Closed",IF(O36="",0,O36-M36),'Branding &amp; Setup'!$B$12-M36)</f>
        <v>2</v>
      </c>
      <c r="R36" s="27" t="str">
        <f>IF(AND(J36&lt;&gt;"Closed",J36&lt;&gt;"Rejected",'Branding &amp; Setup'!$B$12&gt;N36),"Yes","No")</f>
        <v>No</v>
      </c>
      <c r="S36" s="16" t="s">
        <v>168</v>
      </c>
      <c r="T36" s="25" t="s">
        <v>1083</v>
      </c>
      <c r="U36" s="16" t="s">
        <v>436</v>
      </c>
      <c r="V36" s="16"/>
      <c r="W36" s="27" t="str">
        <f t="shared" si="0"/>
        <v>0-2 days</v>
      </c>
      <c r="X36" s="27" t="str">
        <f t="shared" si="1"/>
        <v>No</v>
      </c>
    </row>
    <row r="37" spans="1:24" ht="38.25" x14ac:dyDescent="0.25">
      <c r="A37" s="16" t="s">
        <v>917</v>
      </c>
      <c r="B37" s="16" t="s">
        <v>1106</v>
      </c>
      <c r="C37" s="25" t="s">
        <v>1148</v>
      </c>
      <c r="D37" s="16" t="s">
        <v>283</v>
      </c>
      <c r="E37" s="16" t="s">
        <v>341</v>
      </c>
      <c r="F37" s="16" t="s">
        <v>771</v>
      </c>
      <c r="G37" s="16" t="s">
        <v>340</v>
      </c>
      <c r="H37" s="16" t="s">
        <v>1069</v>
      </c>
      <c r="I37" s="16" t="s">
        <v>1070</v>
      </c>
      <c r="J37" s="16" t="s">
        <v>1089</v>
      </c>
      <c r="K37" s="16" t="s">
        <v>456</v>
      </c>
      <c r="L37" s="16" t="s">
        <v>1095</v>
      </c>
      <c r="M37" s="17">
        <v>46078</v>
      </c>
      <c r="N37" s="17">
        <v>46086</v>
      </c>
      <c r="O37" s="17">
        <v>46088</v>
      </c>
      <c r="P37" s="16"/>
      <c r="Q37" s="26">
        <f>IF(J37="Closed",IF(O37="",0,O37-M37),'Branding &amp; Setup'!$B$12-M37)</f>
        <v>15</v>
      </c>
      <c r="R37" s="27" t="str">
        <f>IF(AND(J37&lt;&gt;"Closed",J37&lt;&gt;"Rejected",'Branding &amp; Setup'!$B$12&gt;N37),"Yes","No")</f>
        <v>Yes</v>
      </c>
      <c r="S37" s="16" t="s">
        <v>249</v>
      </c>
      <c r="T37" s="16" t="s">
        <v>1101</v>
      </c>
      <c r="U37" s="16" t="s">
        <v>436</v>
      </c>
      <c r="V37" s="16"/>
      <c r="W37" s="27" t="str">
        <f t="shared" si="0"/>
        <v>11+ days</v>
      </c>
      <c r="X37" s="27" t="str">
        <f t="shared" si="1"/>
        <v>Yes</v>
      </c>
    </row>
    <row r="38" spans="1:24" ht="38.25" x14ac:dyDescent="0.25">
      <c r="A38" s="16" t="s">
        <v>1025</v>
      </c>
      <c r="B38" s="25" t="s">
        <v>1076</v>
      </c>
      <c r="C38" s="25" t="s">
        <v>1149</v>
      </c>
      <c r="D38" s="16" t="s">
        <v>310</v>
      </c>
      <c r="E38" s="16" t="s">
        <v>336</v>
      </c>
      <c r="F38" s="16" t="s">
        <v>803</v>
      </c>
      <c r="G38" s="16" t="s">
        <v>418</v>
      </c>
      <c r="H38" s="16" t="s">
        <v>1103</v>
      </c>
      <c r="I38" s="16" t="s">
        <v>1104</v>
      </c>
      <c r="J38" s="16" t="s">
        <v>1080</v>
      </c>
      <c r="K38" s="16" t="s">
        <v>243</v>
      </c>
      <c r="L38" s="16" t="s">
        <v>1081</v>
      </c>
      <c r="M38" s="17">
        <v>46088</v>
      </c>
      <c r="N38" s="17">
        <v>46096</v>
      </c>
      <c r="O38" s="16"/>
      <c r="P38" s="16"/>
      <c r="Q38" s="26">
        <f>IF(J38="Closed",IF(O38="",0,O38-M38),'Branding &amp; Setup'!$B$12-M38)</f>
        <v>5</v>
      </c>
      <c r="R38" s="27" t="str">
        <f>IF(AND(J38&lt;&gt;"Closed",J38&lt;&gt;"Rejected",'Branding &amp; Setup'!$B$12&gt;N38),"Yes","No")</f>
        <v>No</v>
      </c>
      <c r="S38" s="16" t="s">
        <v>1082</v>
      </c>
      <c r="T38" s="25" t="s">
        <v>1083</v>
      </c>
      <c r="U38" s="16" t="s">
        <v>458</v>
      </c>
      <c r="V38" s="16"/>
      <c r="W38" s="27" t="str">
        <f t="shared" si="0"/>
        <v>3-5 days</v>
      </c>
      <c r="X38" s="27" t="str">
        <f t="shared" si="1"/>
        <v>Yes</v>
      </c>
    </row>
    <row r="39" spans="1:24" ht="38.25" x14ac:dyDescent="0.25">
      <c r="A39" s="16" t="s">
        <v>999</v>
      </c>
      <c r="B39" s="25" t="s">
        <v>1126</v>
      </c>
      <c r="C39" s="25" t="s">
        <v>1150</v>
      </c>
      <c r="D39" s="16" t="s">
        <v>304</v>
      </c>
      <c r="E39" s="16" t="s">
        <v>331</v>
      </c>
      <c r="F39" s="16" t="s">
        <v>764</v>
      </c>
      <c r="G39" s="16" t="s">
        <v>330</v>
      </c>
      <c r="H39" s="16" t="s">
        <v>1087</v>
      </c>
      <c r="I39" s="16" t="s">
        <v>1088</v>
      </c>
      <c r="J39" s="16" t="s">
        <v>1080</v>
      </c>
      <c r="K39" s="16" t="s">
        <v>243</v>
      </c>
      <c r="L39" s="16" t="s">
        <v>1072</v>
      </c>
      <c r="M39" s="17">
        <v>46078</v>
      </c>
      <c r="N39" s="17">
        <v>46085</v>
      </c>
      <c r="O39" s="16"/>
      <c r="P39" s="16"/>
      <c r="Q39" s="26">
        <f>IF(J39="Closed",IF(O39="",0,O39-M39),'Branding &amp; Setup'!$B$12-M39)</f>
        <v>15</v>
      </c>
      <c r="R39" s="27" t="str">
        <f>IF(AND(J39&lt;&gt;"Closed",J39&lt;&gt;"Rejected",'Branding &amp; Setup'!$B$12&gt;N39),"Yes","No")</f>
        <v>Yes</v>
      </c>
      <c r="S39" s="16" t="s">
        <v>168</v>
      </c>
      <c r="T39" s="25" t="s">
        <v>1074</v>
      </c>
      <c r="U39" s="16" t="s">
        <v>449</v>
      </c>
      <c r="V39" s="16" t="s">
        <v>1092</v>
      </c>
      <c r="W39" s="27" t="str">
        <f t="shared" si="0"/>
        <v>11+ days</v>
      </c>
      <c r="X39" s="27" t="str">
        <f t="shared" si="1"/>
        <v>Yes</v>
      </c>
    </row>
    <row r="40" spans="1:24" ht="38.25" x14ac:dyDescent="0.25">
      <c r="A40" s="16" t="s">
        <v>1151</v>
      </c>
      <c r="B40" s="25" t="s">
        <v>1085</v>
      </c>
      <c r="C40" s="25" t="s">
        <v>1152</v>
      </c>
      <c r="D40" s="16" t="s">
        <v>310</v>
      </c>
      <c r="E40" s="16" t="s">
        <v>336</v>
      </c>
      <c r="F40" s="16" t="s">
        <v>813</v>
      </c>
      <c r="G40" s="16" t="s">
        <v>335</v>
      </c>
      <c r="H40" s="16" t="s">
        <v>1087</v>
      </c>
      <c r="I40" s="16" t="s">
        <v>1088</v>
      </c>
      <c r="J40" s="16" t="s">
        <v>1089</v>
      </c>
      <c r="K40" s="16" t="s">
        <v>456</v>
      </c>
      <c r="L40" s="16" t="s">
        <v>1100</v>
      </c>
      <c r="M40" s="17">
        <v>46086</v>
      </c>
      <c r="N40" s="17">
        <v>46094</v>
      </c>
      <c r="O40" s="17">
        <v>46097</v>
      </c>
      <c r="P40" s="16"/>
      <c r="Q40" s="26">
        <f>IF(J40="Closed",IF(O40="",0,O40-M40),'Branding &amp; Setup'!$B$12-M40)</f>
        <v>7</v>
      </c>
      <c r="R40" s="27" t="str">
        <f>IF(AND(J40&lt;&gt;"Closed",J40&lt;&gt;"Rejected",'Branding &amp; Setup'!$B$12&gt;N40),"Yes","No")</f>
        <v>No</v>
      </c>
      <c r="S40" s="16" t="s">
        <v>541</v>
      </c>
      <c r="T40" s="25" t="s">
        <v>1097</v>
      </c>
      <c r="U40" s="16" t="s">
        <v>458</v>
      </c>
      <c r="V40" s="16" t="s">
        <v>1092</v>
      </c>
      <c r="W40" s="27" t="str">
        <f t="shared" si="0"/>
        <v>6-10 days</v>
      </c>
      <c r="X40" s="27" t="str">
        <f t="shared" si="1"/>
        <v>Yes</v>
      </c>
    </row>
    <row r="41" spans="1:24" ht="38.25" x14ac:dyDescent="0.25">
      <c r="A41" s="16" t="s">
        <v>908</v>
      </c>
      <c r="B41" s="25" t="s">
        <v>1085</v>
      </c>
      <c r="C41" s="25" t="s">
        <v>1153</v>
      </c>
      <c r="D41" s="16" t="s">
        <v>310</v>
      </c>
      <c r="E41" s="16" t="s">
        <v>309</v>
      </c>
      <c r="F41" s="16" t="s">
        <v>808</v>
      </c>
      <c r="G41" s="16" t="s">
        <v>308</v>
      </c>
      <c r="H41" s="16" t="s">
        <v>1103</v>
      </c>
      <c r="I41" s="16" t="s">
        <v>1104</v>
      </c>
      <c r="J41" s="16" t="s">
        <v>1089</v>
      </c>
      <c r="K41" s="16" t="s">
        <v>269</v>
      </c>
      <c r="L41" s="16" t="s">
        <v>1095</v>
      </c>
      <c r="M41" s="17">
        <v>46088</v>
      </c>
      <c r="N41" s="17">
        <v>46096</v>
      </c>
      <c r="O41" s="17">
        <v>46096</v>
      </c>
      <c r="P41" s="16"/>
      <c r="Q41" s="26">
        <f>IF(J41="Closed",IF(O41="",0,O41-M41),'Branding &amp; Setup'!$B$12-M41)</f>
        <v>5</v>
      </c>
      <c r="R41" s="27" t="str">
        <f>IF(AND(J41&lt;&gt;"Closed",J41&lt;&gt;"Rejected",'Branding &amp; Setup'!$B$12&gt;N41),"Yes","No")</f>
        <v>No</v>
      </c>
      <c r="S41" s="16" t="s">
        <v>541</v>
      </c>
      <c r="T41" s="25" t="s">
        <v>1118</v>
      </c>
      <c r="U41" s="16" t="s">
        <v>458</v>
      </c>
      <c r="V41" s="16"/>
      <c r="W41" s="27" t="str">
        <f t="shared" si="0"/>
        <v>3-5 days</v>
      </c>
      <c r="X41" s="27" t="str">
        <f t="shared" si="1"/>
        <v>Yes</v>
      </c>
    </row>
    <row r="42" spans="1:24" ht="38.25" x14ac:dyDescent="0.25">
      <c r="A42" s="16" t="s">
        <v>1154</v>
      </c>
      <c r="B42" s="25" t="s">
        <v>1119</v>
      </c>
      <c r="C42" s="25" t="s">
        <v>1155</v>
      </c>
      <c r="D42" s="16" t="s">
        <v>310</v>
      </c>
      <c r="E42" s="16" t="s">
        <v>387</v>
      </c>
      <c r="F42" s="16" t="s">
        <v>853</v>
      </c>
      <c r="G42" s="16" t="s">
        <v>386</v>
      </c>
      <c r="H42" s="16" t="s">
        <v>1078</v>
      </c>
      <c r="I42" s="16" t="s">
        <v>1079</v>
      </c>
      <c r="J42" s="16" t="s">
        <v>1099</v>
      </c>
      <c r="K42" s="16" t="s">
        <v>252</v>
      </c>
      <c r="L42" s="16" t="s">
        <v>1081</v>
      </c>
      <c r="M42" s="17">
        <v>46083</v>
      </c>
      <c r="N42" s="17">
        <v>46085</v>
      </c>
      <c r="O42" s="16"/>
      <c r="P42" s="16"/>
      <c r="Q42" s="26">
        <f>IF(J42="Closed",IF(O42="",0,O42-M42),'Branding &amp; Setup'!$B$12-M42)</f>
        <v>10</v>
      </c>
      <c r="R42" s="27" t="str">
        <f>IF(AND(J42&lt;&gt;"Closed",J42&lt;&gt;"Rejected",'Branding &amp; Setup'!$B$12&gt;N42),"Yes","No")</f>
        <v>Yes</v>
      </c>
      <c r="S42" s="16" t="s">
        <v>541</v>
      </c>
      <c r="T42" s="25" t="s">
        <v>1074</v>
      </c>
      <c r="U42" s="16" t="s">
        <v>458</v>
      </c>
      <c r="V42" s="16"/>
      <c r="W42" s="27" t="str">
        <f t="shared" si="0"/>
        <v>6-10 days</v>
      </c>
      <c r="X42" s="27" t="str">
        <f t="shared" si="1"/>
        <v>Yes</v>
      </c>
    </row>
    <row r="43" spans="1:24" ht="38.25" x14ac:dyDescent="0.25">
      <c r="A43" s="16" t="s">
        <v>1156</v>
      </c>
      <c r="B43" s="25" t="s">
        <v>1112</v>
      </c>
      <c r="C43" s="25" t="s">
        <v>1157</v>
      </c>
      <c r="D43" s="16" t="s">
        <v>291</v>
      </c>
      <c r="E43" s="16" t="s">
        <v>321</v>
      </c>
      <c r="F43" s="16" t="s">
        <v>840</v>
      </c>
      <c r="G43" s="16" t="s">
        <v>320</v>
      </c>
      <c r="H43" s="16" t="s">
        <v>1069</v>
      </c>
      <c r="I43" s="16" t="s">
        <v>1070</v>
      </c>
      <c r="J43" s="16" t="s">
        <v>1071</v>
      </c>
      <c r="K43" s="16" t="s">
        <v>252</v>
      </c>
      <c r="L43" s="16" t="s">
        <v>1100</v>
      </c>
      <c r="M43" s="17">
        <v>46085</v>
      </c>
      <c r="N43" s="17">
        <v>46090</v>
      </c>
      <c r="O43" s="17">
        <v>46093</v>
      </c>
      <c r="P43" s="17">
        <v>46095</v>
      </c>
      <c r="Q43" s="26">
        <f>IF(J43="Closed",IF(O43="",0,O43-M43),'Branding &amp; Setup'!$B$12-M43)</f>
        <v>8</v>
      </c>
      <c r="R43" s="27" t="str">
        <f>IF(AND(J43&lt;&gt;"Closed",J43&lt;&gt;"Rejected",'Branding &amp; Setup'!$B$12&gt;N43),"Yes","No")</f>
        <v>No</v>
      </c>
      <c r="S43" s="16" t="s">
        <v>541</v>
      </c>
      <c r="T43" s="25" t="s">
        <v>1097</v>
      </c>
      <c r="U43" s="16" t="s">
        <v>436</v>
      </c>
      <c r="V43" s="16"/>
      <c r="W43" s="27" t="str">
        <f t="shared" si="0"/>
        <v>6-10 days</v>
      </c>
      <c r="X43" s="27" t="str">
        <f t="shared" si="1"/>
        <v>No</v>
      </c>
    </row>
  </sheetData>
  <autoFilter ref="A8:X43" xr:uid="{00000000-0009-0000-0000-00000F000000}"/>
  <mergeCells count="3">
    <mergeCell ref="A1:X1"/>
    <mergeCell ref="A2:X2"/>
    <mergeCell ref="A4:X6"/>
  </mergeCells>
  <conditionalFormatting sqref="H9:H43">
    <cfRule type="expression" dxfId="47" priority="2">
      <formula>$H9="S1 - Critical"</formula>
    </cfRule>
    <cfRule type="expression" dxfId="46" priority="3">
      <formula>$H9="S2 - High"</formula>
    </cfRule>
    <cfRule type="expression" dxfId="45" priority="4">
      <formula>$H9="S3 - Medium"</formula>
    </cfRule>
    <cfRule type="expression" dxfId="44" priority="5">
      <formula>$H9="S4 - Low"</formula>
    </cfRule>
  </conditionalFormatting>
  <conditionalFormatting sqref="J9:J43">
    <cfRule type="expression" dxfId="43" priority="6">
      <formula>$J9="Open"</formula>
    </cfRule>
    <cfRule type="expression" dxfId="42" priority="7">
      <formula>$J9="In Triage"</formula>
    </cfRule>
    <cfRule type="expression" dxfId="41" priority="8">
      <formula>$J9="Fixed - Pending Retest"</formula>
    </cfRule>
    <cfRule type="expression" dxfId="40" priority="9">
      <formula>$J9="Closed"</formula>
    </cfRule>
    <cfRule type="expression" dxfId="39" priority="10">
      <formula>$J9="Rejected"</formula>
    </cfRule>
  </conditionalFormatting>
  <conditionalFormatting sqref="R9:R43">
    <cfRule type="expression" dxfId="38" priority="11">
      <formula>$R9="Yes"</formula>
    </cfRule>
    <cfRule type="expression" dxfId="37" priority="12">
      <formula>$R9="No"</formula>
    </cfRule>
  </conditionalFormatting>
  <dataValidations count="7">
    <dataValidation type="list" allowBlank="1" sqref="D9:D43" xr:uid="{00000000-0002-0000-0F00-000000000000}">
      <formula1>BusinessAreas</formula1>
      <formula2>0</formula2>
    </dataValidation>
    <dataValidation type="list" allowBlank="1" sqref="H9:H43" xr:uid="{00000000-0002-0000-0F00-000001000000}">
      <formula1>DefectSeverity</formula1>
      <formula2>0</formula2>
    </dataValidation>
    <dataValidation type="list" allowBlank="1" sqref="I9:I43" xr:uid="{00000000-0002-0000-0F00-000002000000}">
      <formula1>DefectPriority</formula1>
      <formula2>0</formula2>
    </dataValidation>
    <dataValidation type="list" allowBlank="1" sqref="J9:J43" xr:uid="{00000000-0002-0000-0F00-000003000000}">
      <formula1>DefectStatus</formula1>
      <formula2>0</formula2>
    </dataValidation>
    <dataValidation type="list" allowBlank="1" sqref="K9:K43" xr:uid="{00000000-0002-0000-0F00-000004000000}">
      <formula1>Owners</formula1>
      <formula2>0</formula2>
    </dataValidation>
    <dataValidation type="list" allowBlank="1" sqref="L9:L43" xr:uid="{00000000-0002-0000-0F00-000005000000}">
      <formula1>AssignedTeams</formula1>
      <formula2>0</formula2>
    </dataValidation>
    <dataValidation type="list" allowBlank="1" sqref="S9:S43" xr:uid="{00000000-0002-0000-0F00-000006000000}">
      <formula1>RootCauses</formula1>
      <formula2>0</formula2>
    </dataValidation>
  </dataValidations>
  <hyperlinks>
    <hyperlink ref="A3" r:id="rId1" location="'Start%20Here'!A1" xr:uid="{00000000-0004-0000-0F00-000000000000}"/>
    <hyperlink ref="B3" r:id="rId2" location="'UAT%20Overview'!A1" xr:uid="{00000000-0004-0000-0F00-000001000000}"/>
    <hyperlink ref="C3" r:id="rId3" location="'Executive%20Dashboard'!A1" xr:uid="{00000000-0004-0000-0F00-000002000000}"/>
    <hyperlink ref="D3" r:id="rId4" location="'Operational%20Dashboard'!A1" xr:uid="{00000000-0004-0000-0F00-000003000000}"/>
    <hyperlink ref="E3" r:id="rId5" location="'Readiness%20Checklist'!A1" xr:uid="{00000000-0004-0000-0F00-000004000000}"/>
  </hyperlinks>
  <pageMargins left="0.75" right="0.75" top="1" bottom="1"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0"/>
  <sheetViews>
    <sheetView zoomScaleNormal="100" workbookViewId="0">
      <pane ySplit="8" topLeftCell="A9" activePane="bottomLeft" state="frozen"/>
      <selection pane="bottomLeft" sqref="A1:N1"/>
    </sheetView>
  </sheetViews>
  <sheetFormatPr defaultColWidth="8.7109375" defaultRowHeight="15" customHeight="1" x14ac:dyDescent="0.25"/>
  <cols>
    <col min="1" max="1" width="12" customWidth="1"/>
    <col min="2" max="2" width="26" customWidth="1"/>
    <col min="3" max="3" width="14" customWidth="1"/>
    <col min="4" max="4" width="34" customWidth="1"/>
    <col min="5" max="5" width="22" customWidth="1"/>
    <col min="6" max="6" width="10" customWidth="1"/>
    <col min="7" max="7" width="18" customWidth="1"/>
    <col min="8" max="10" width="14" customWidth="1"/>
    <col min="11" max="11" width="18" customWidth="1"/>
    <col min="12" max="12" width="24" customWidth="1"/>
    <col min="13" max="13" width="14" customWidth="1"/>
    <col min="14" max="14" width="12" customWidth="1"/>
  </cols>
  <sheetData>
    <row r="1" spans="1:14" ht="25.5" customHeight="1" x14ac:dyDescent="0.25">
      <c r="A1" s="12" t="str">
        <f>'Branding &amp; Setup'!$B$9 &amp; " | Issue Log"</f>
        <v>Northbridge Citizens Services | Issue Log</v>
      </c>
      <c r="B1" s="12"/>
      <c r="C1" s="12"/>
      <c r="D1" s="12"/>
      <c r="E1" s="12"/>
      <c r="F1" s="12"/>
      <c r="G1" s="12"/>
      <c r="H1" s="12"/>
      <c r="I1" s="12"/>
      <c r="J1" s="12"/>
      <c r="K1" s="12"/>
      <c r="L1" s="12"/>
      <c r="M1" s="12"/>
      <c r="N1" s="12"/>
    </row>
    <row r="2" spans="1:14"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row>
    <row r="3" spans="1:14" ht="18" customHeight="1" x14ac:dyDescent="0.25">
      <c r="A3" s="13" t="s">
        <v>0</v>
      </c>
      <c r="B3" s="13" t="s">
        <v>1</v>
      </c>
      <c r="C3" s="13" t="s">
        <v>2</v>
      </c>
      <c r="D3" s="13" t="s">
        <v>3</v>
      </c>
      <c r="E3" s="13" t="s">
        <v>4</v>
      </c>
    </row>
    <row r="4" spans="1:14" ht="18" customHeight="1" x14ac:dyDescent="0.25">
      <c r="A4" s="10" t="s">
        <v>1158</v>
      </c>
      <c r="B4" s="10"/>
      <c r="C4" s="10"/>
      <c r="D4" s="10"/>
      <c r="E4" s="10"/>
      <c r="F4" s="10"/>
      <c r="G4" s="10"/>
      <c r="H4" s="10"/>
      <c r="I4" s="10"/>
      <c r="J4" s="10"/>
      <c r="K4" s="10"/>
      <c r="L4" s="10"/>
      <c r="M4" s="10"/>
      <c r="N4" s="10"/>
    </row>
    <row r="5" spans="1:14" ht="18" customHeight="1" x14ac:dyDescent="0.25">
      <c r="A5" s="10"/>
      <c r="B5" s="10"/>
      <c r="C5" s="10"/>
      <c r="D5" s="10"/>
      <c r="E5" s="10"/>
      <c r="F5" s="10"/>
      <c r="G5" s="10"/>
      <c r="H5" s="10"/>
      <c r="I5" s="10"/>
      <c r="J5" s="10"/>
      <c r="K5" s="10"/>
      <c r="L5" s="10"/>
      <c r="M5" s="10"/>
      <c r="N5" s="10"/>
    </row>
    <row r="6" spans="1:14" ht="18" customHeight="1" x14ac:dyDescent="0.25">
      <c r="A6" s="10"/>
      <c r="B6" s="10"/>
      <c r="C6" s="10"/>
      <c r="D6" s="10"/>
      <c r="E6" s="10"/>
      <c r="F6" s="10"/>
      <c r="G6" s="10"/>
      <c r="H6" s="10"/>
      <c r="I6" s="10"/>
      <c r="J6" s="10"/>
      <c r="K6" s="10"/>
      <c r="L6" s="10"/>
      <c r="M6" s="10"/>
      <c r="N6" s="10"/>
    </row>
    <row r="8" spans="1:14" ht="25.5" x14ac:dyDescent="0.25">
      <c r="A8" s="21" t="s">
        <v>1159</v>
      </c>
      <c r="B8" s="21" t="s">
        <v>1160</v>
      </c>
      <c r="C8" s="21" t="s">
        <v>494</v>
      </c>
      <c r="D8" s="21" t="s">
        <v>223</v>
      </c>
      <c r="E8" s="21" t="s">
        <v>499</v>
      </c>
      <c r="F8" s="21" t="s">
        <v>1055</v>
      </c>
      <c r="G8" s="21" t="s">
        <v>226</v>
      </c>
      <c r="H8" s="21" t="s">
        <v>1161</v>
      </c>
      <c r="I8" s="21" t="s">
        <v>566</v>
      </c>
      <c r="J8" s="21" t="s">
        <v>151</v>
      </c>
      <c r="K8" s="21" t="s">
        <v>1162</v>
      </c>
      <c r="L8" s="21" t="s">
        <v>500</v>
      </c>
      <c r="M8" s="21" t="s">
        <v>1163</v>
      </c>
      <c r="N8" s="21" t="s">
        <v>501</v>
      </c>
    </row>
    <row r="9" spans="1:14" ht="51" x14ac:dyDescent="0.25">
      <c r="A9" s="16" t="s">
        <v>883</v>
      </c>
      <c r="B9" s="25" t="s">
        <v>1164</v>
      </c>
      <c r="C9" s="16" t="s">
        <v>1165</v>
      </c>
      <c r="D9" s="25" t="s">
        <v>1166</v>
      </c>
      <c r="E9" s="16" t="s">
        <v>1167</v>
      </c>
      <c r="F9" s="16" t="s">
        <v>522</v>
      </c>
      <c r="G9" s="16" t="s">
        <v>241</v>
      </c>
      <c r="H9" s="17">
        <v>46080</v>
      </c>
      <c r="I9" s="17">
        <v>46085</v>
      </c>
      <c r="J9" s="16" t="s">
        <v>1168</v>
      </c>
      <c r="K9" s="16" t="s">
        <v>1169</v>
      </c>
      <c r="L9" s="25" t="s">
        <v>1170</v>
      </c>
      <c r="M9" s="16" t="s">
        <v>437</v>
      </c>
      <c r="N9" s="27" t="str">
        <f>IF(AND(J9&lt;&gt;"Resolved",J9&lt;&gt;"Closed",'Branding &amp; Setup'!$B$12&gt;I9),"Yes","No")</f>
        <v>No</v>
      </c>
    </row>
    <row r="10" spans="1:14" ht="51" x14ac:dyDescent="0.25">
      <c r="A10" s="16" t="s">
        <v>902</v>
      </c>
      <c r="B10" s="25" t="s">
        <v>1171</v>
      </c>
      <c r="C10" s="16" t="s">
        <v>541</v>
      </c>
      <c r="D10" s="25" t="s">
        <v>1172</v>
      </c>
      <c r="E10" s="16" t="s">
        <v>1173</v>
      </c>
      <c r="F10" s="16" t="s">
        <v>504</v>
      </c>
      <c r="G10" s="16" t="s">
        <v>252</v>
      </c>
      <c r="H10" s="17">
        <v>46077</v>
      </c>
      <c r="I10" s="17">
        <v>46080</v>
      </c>
      <c r="J10" s="16" t="s">
        <v>1168</v>
      </c>
      <c r="K10" s="16" t="s">
        <v>1174</v>
      </c>
      <c r="L10" s="25" t="s">
        <v>1175</v>
      </c>
      <c r="M10" s="16" t="s">
        <v>437</v>
      </c>
      <c r="N10" s="27" t="str">
        <f>IF(AND(J10&lt;&gt;"Resolved",J10&lt;&gt;"Closed",'Branding &amp; Setup'!$B$12&gt;I10),"Yes","No")</f>
        <v>No</v>
      </c>
    </row>
    <row r="11" spans="1:14" ht="51" x14ac:dyDescent="0.25">
      <c r="A11" s="16" t="s">
        <v>869</v>
      </c>
      <c r="B11" s="25" t="s">
        <v>1176</v>
      </c>
      <c r="C11" s="16" t="s">
        <v>1177</v>
      </c>
      <c r="D11" s="25" t="s">
        <v>1178</v>
      </c>
      <c r="E11" s="16" t="s">
        <v>1173</v>
      </c>
      <c r="F11" s="16" t="s">
        <v>508</v>
      </c>
      <c r="G11" s="16" t="s">
        <v>252</v>
      </c>
      <c r="H11" s="17">
        <v>46082</v>
      </c>
      <c r="I11" s="17">
        <v>46085</v>
      </c>
      <c r="J11" s="16" t="s">
        <v>1168</v>
      </c>
      <c r="K11" s="16" t="s">
        <v>1179</v>
      </c>
      <c r="L11" s="25" t="s">
        <v>1180</v>
      </c>
      <c r="M11" s="16" t="s">
        <v>437</v>
      </c>
      <c r="N11" s="27" t="str">
        <f>IF(AND(J11&lt;&gt;"Resolved",J11&lt;&gt;"Closed",'Branding &amp; Setup'!$B$12&gt;I11),"Yes","No")</f>
        <v>No</v>
      </c>
    </row>
    <row r="12" spans="1:14" ht="51" x14ac:dyDescent="0.25">
      <c r="A12" s="16" t="s">
        <v>930</v>
      </c>
      <c r="B12" s="25" t="s">
        <v>1181</v>
      </c>
      <c r="C12" s="16" t="s">
        <v>1182</v>
      </c>
      <c r="D12" s="25" t="s">
        <v>1183</v>
      </c>
      <c r="E12" s="16" t="s">
        <v>1184</v>
      </c>
      <c r="F12" s="16" t="s">
        <v>522</v>
      </c>
      <c r="G12" s="16" t="s">
        <v>241</v>
      </c>
      <c r="H12" s="17">
        <v>46086</v>
      </c>
      <c r="I12" s="17">
        <v>46090</v>
      </c>
      <c r="J12" s="16" t="s">
        <v>263</v>
      </c>
      <c r="K12" s="16" t="s">
        <v>1169</v>
      </c>
      <c r="L12" s="25" t="s">
        <v>1175</v>
      </c>
      <c r="M12" s="16" t="s">
        <v>438</v>
      </c>
      <c r="N12" s="27" t="str">
        <f>IF(AND(J12&lt;&gt;"Resolved",J12&lt;&gt;"Closed",'Branding &amp; Setup'!$B$12&gt;I12),"Yes","No")</f>
        <v>Yes</v>
      </c>
    </row>
    <row r="13" spans="1:14" ht="51" x14ac:dyDescent="0.25">
      <c r="A13" s="16" t="s">
        <v>927</v>
      </c>
      <c r="B13" s="25" t="s">
        <v>1185</v>
      </c>
      <c r="C13" s="16" t="s">
        <v>517</v>
      </c>
      <c r="D13" s="25" t="s">
        <v>1186</v>
      </c>
      <c r="E13" s="16" t="s">
        <v>1173</v>
      </c>
      <c r="F13" s="16" t="s">
        <v>508</v>
      </c>
      <c r="G13" s="16" t="s">
        <v>81</v>
      </c>
      <c r="H13" s="17">
        <v>46084</v>
      </c>
      <c r="I13" s="17">
        <v>46085</v>
      </c>
      <c r="J13" s="16" t="s">
        <v>1099</v>
      </c>
      <c r="K13" s="16" t="s">
        <v>1169</v>
      </c>
      <c r="L13" s="25" t="s">
        <v>1187</v>
      </c>
      <c r="M13" s="16" t="s">
        <v>437</v>
      </c>
      <c r="N13" s="27" t="str">
        <f>IF(AND(J13&lt;&gt;"Resolved",J13&lt;&gt;"Closed",'Branding &amp; Setup'!$B$12&gt;I13),"Yes","No")</f>
        <v>Yes</v>
      </c>
    </row>
    <row r="14" spans="1:14" ht="51" x14ac:dyDescent="0.25">
      <c r="A14" s="16" t="s">
        <v>1044</v>
      </c>
      <c r="B14" s="25" t="s">
        <v>1176</v>
      </c>
      <c r="C14" s="16" t="s">
        <v>1177</v>
      </c>
      <c r="D14" s="25" t="s">
        <v>1178</v>
      </c>
      <c r="E14" s="16" t="s">
        <v>1173</v>
      </c>
      <c r="F14" s="16" t="s">
        <v>522</v>
      </c>
      <c r="G14" s="16" t="s">
        <v>81</v>
      </c>
      <c r="H14" s="17">
        <v>46077</v>
      </c>
      <c r="I14" s="17">
        <v>46083</v>
      </c>
      <c r="J14" s="16" t="s">
        <v>1099</v>
      </c>
      <c r="K14" s="16" t="s">
        <v>1169</v>
      </c>
      <c r="L14" s="25" t="s">
        <v>1170</v>
      </c>
      <c r="M14" s="16" t="s">
        <v>438</v>
      </c>
      <c r="N14" s="27" t="str">
        <f>IF(AND(J14&lt;&gt;"Resolved",J14&lt;&gt;"Closed",'Branding &amp; Setup'!$B$12&gt;I14),"Yes","No")</f>
        <v>Yes</v>
      </c>
    </row>
    <row r="15" spans="1:14" ht="51" x14ac:dyDescent="0.25">
      <c r="A15" s="16" t="s">
        <v>997</v>
      </c>
      <c r="B15" s="25" t="s">
        <v>1164</v>
      </c>
      <c r="C15" s="16" t="s">
        <v>1165</v>
      </c>
      <c r="D15" s="25" t="s">
        <v>1166</v>
      </c>
      <c r="E15" s="16" t="s">
        <v>1173</v>
      </c>
      <c r="F15" s="16" t="s">
        <v>504</v>
      </c>
      <c r="G15" s="16" t="s">
        <v>252</v>
      </c>
      <c r="H15" s="17">
        <v>46087</v>
      </c>
      <c r="I15" s="17">
        <v>46088</v>
      </c>
      <c r="J15" s="16" t="s">
        <v>1071</v>
      </c>
      <c r="K15" s="16" t="s">
        <v>1179</v>
      </c>
      <c r="L15" s="25" t="s">
        <v>1175</v>
      </c>
      <c r="M15" s="16" t="s">
        <v>437</v>
      </c>
      <c r="N15" s="27" t="str">
        <f>IF(AND(J15&lt;&gt;"Resolved",J15&lt;&gt;"Closed",'Branding &amp; Setup'!$B$12&gt;I15),"Yes","No")</f>
        <v>No</v>
      </c>
    </row>
    <row r="16" spans="1:14" ht="51" x14ac:dyDescent="0.25">
      <c r="A16" s="16" t="s">
        <v>923</v>
      </c>
      <c r="B16" s="25" t="s">
        <v>1188</v>
      </c>
      <c r="C16" s="16" t="s">
        <v>168</v>
      </c>
      <c r="D16" s="25" t="s">
        <v>1189</v>
      </c>
      <c r="E16" s="16" t="s">
        <v>1173</v>
      </c>
      <c r="F16" s="16" t="s">
        <v>508</v>
      </c>
      <c r="G16" s="16" t="s">
        <v>343</v>
      </c>
      <c r="H16" s="17">
        <v>46086</v>
      </c>
      <c r="I16" s="17">
        <v>46087</v>
      </c>
      <c r="J16" s="16" t="s">
        <v>263</v>
      </c>
      <c r="K16" s="16" t="s">
        <v>1190</v>
      </c>
      <c r="L16" s="25" t="s">
        <v>1175</v>
      </c>
      <c r="M16" s="16" t="s">
        <v>437</v>
      </c>
      <c r="N16" s="27" t="str">
        <f>IF(AND(J16&lt;&gt;"Resolved",J16&lt;&gt;"Closed",'Branding &amp; Setup'!$B$12&gt;I16),"Yes","No")</f>
        <v>Yes</v>
      </c>
    </row>
    <row r="17" spans="1:14" ht="51" x14ac:dyDescent="0.25">
      <c r="A17" s="16" t="s">
        <v>909</v>
      </c>
      <c r="B17" s="16" t="s">
        <v>1191</v>
      </c>
      <c r="C17" s="16" t="s">
        <v>249</v>
      </c>
      <c r="D17" s="25" t="s">
        <v>1192</v>
      </c>
      <c r="E17" s="16" t="s">
        <v>1167</v>
      </c>
      <c r="F17" s="16" t="s">
        <v>522</v>
      </c>
      <c r="G17" s="16" t="s">
        <v>241</v>
      </c>
      <c r="H17" s="17">
        <v>46084</v>
      </c>
      <c r="I17" s="17">
        <v>46086</v>
      </c>
      <c r="J17" s="16" t="s">
        <v>1168</v>
      </c>
      <c r="K17" s="16" t="s">
        <v>1190</v>
      </c>
      <c r="L17" s="25" t="s">
        <v>1170</v>
      </c>
      <c r="M17" s="16" t="s">
        <v>437</v>
      </c>
      <c r="N17" s="27" t="str">
        <f>IF(AND(J17&lt;&gt;"Resolved",J17&lt;&gt;"Closed",'Branding &amp; Setup'!$B$12&gt;I17),"Yes","No")</f>
        <v>No</v>
      </c>
    </row>
    <row r="18" spans="1:14" ht="51" x14ac:dyDescent="0.25">
      <c r="A18" s="16" t="s">
        <v>1193</v>
      </c>
      <c r="B18" s="25" t="s">
        <v>1194</v>
      </c>
      <c r="C18" s="16" t="s">
        <v>1195</v>
      </c>
      <c r="D18" s="25" t="s">
        <v>1196</v>
      </c>
      <c r="E18" s="16" t="s">
        <v>1173</v>
      </c>
      <c r="F18" s="16" t="s">
        <v>508</v>
      </c>
      <c r="G18" s="16" t="s">
        <v>343</v>
      </c>
      <c r="H18" s="17">
        <v>46082</v>
      </c>
      <c r="I18" s="17">
        <v>46086</v>
      </c>
      <c r="J18" s="16" t="s">
        <v>1099</v>
      </c>
      <c r="K18" s="16" t="s">
        <v>1174</v>
      </c>
      <c r="L18" s="25" t="s">
        <v>1180</v>
      </c>
      <c r="M18" s="16" t="s">
        <v>438</v>
      </c>
      <c r="N18" s="27" t="str">
        <f>IF(AND(J18&lt;&gt;"Resolved",J18&lt;&gt;"Closed",'Branding &amp; Setup'!$B$12&gt;I18),"Yes","No")</f>
        <v>Yes</v>
      </c>
    </row>
    <row r="19" spans="1:14" ht="51" x14ac:dyDescent="0.25">
      <c r="A19" s="16" t="s">
        <v>949</v>
      </c>
      <c r="B19" s="25" t="s">
        <v>1164</v>
      </c>
      <c r="C19" s="16" t="s">
        <v>1165</v>
      </c>
      <c r="D19" s="25" t="s">
        <v>1166</v>
      </c>
      <c r="E19" s="16" t="s">
        <v>1173</v>
      </c>
      <c r="F19" s="16" t="s">
        <v>522</v>
      </c>
      <c r="G19" s="16" t="s">
        <v>343</v>
      </c>
      <c r="H19" s="17">
        <v>46086</v>
      </c>
      <c r="I19" s="17">
        <v>46092</v>
      </c>
      <c r="J19" s="16" t="s">
        <v>263</v>
      </c>
      <c r="K19" s="16" t="s">
        <v>1169</v>
      </c>
      <c r="L19" s="25" t="s">
        <v>1170</v>
      </c>
      <c r="M19" s="16" t="s">
        <v>438</v>
      </c>
      <c r="N19" s="27" t="str">
        <f>IF(AND(J19&lt;&gt;"Resolved",J19&lt;&gt;"Closed",'Branding &amp; Setup'!$B$12&gt;I19),"Yes","No")</f>
        <v>Yes</v>
      </c>
    </row>
    <row r="20" spans="1:14" ht="51" x14ac:dyDescent="0.25">
      <c r="A20" s="16" t="s">
        <v>1197</v>
      </c>
      <c r="B20" s="25" t="s">
        <v>1188</v>
      </c>
      <c r="C20" s="16" t="s">
        <v>168</v>
      </c>
      <c r="D20" s="25" t="s">
        <v>1189</v>
      </c>
      <c r="E20" s="16" t="s">
        <v>1167</v>
      </c>
      <c r="F20" s="16" t="s">
        <v>522</v>
      </c>
      <c r="G20" s="16" t="s">
        <v>252</v>
      </c>
      <c r="H20" s="17">
        <v>46084</v>
      </c>
      <c r="I20" s="17">
        <v>46087</v>
      </c>
      <c r="J20" s="16" t="s">
        <v>1168</v>
      </c>
      <c r="K20" s="16" t="s">
        <v>1179</v>
      </c>
      <c r="L20" s="25" t="s">
        <v>1170</v>
      </c>
      <c r="M20" s="16" t="s">
        <v>437</v>
      </c>
      <c r="N20" s="27" t="str">
        <f>IF(AND(J20&lt;&gt;"Resolved",J20&lt;&gt;"Closed",'Branding &amp; Setup'!$B$12&gt;I20),"Yes","No")</f>
        <v>No</v>
      </c>
    </row>
  </sheetData>
  <autoFilter ref="A8:N20" xr:uid="{00000000-0009-0000-0000-000010000000}"/>
  <mergeCells count="3">
    <mergeCell ref="A1:N1"/>
    <mergeCell ref="A2:N2"/>
    <mergeCell ref="A4:N6"/>
  </mergeCells>
  <conditionalFormatting sqref="J9:J20">
    <cfRule type="expression" dxfId="36" priority="2">
      <formula>$J9="Open"</formula>
    </cfRule>
    <cfRule type="expression" dxfId="35" priority="3">
      <formula>$J9="In Progress"</formula>
    </cfRule>
    <cfRule type="expression" dxfId="34" priority="4">
      <formula>$J9="Resolved"</formula>
    </cfRule>
    <cfRule type="expression" dxfId="33" priority="5">
      <formula>$J9="Closed"</formula>
    </cfRule>
  </conditionalFormatting>
  <conditionalFormatting sqref="M9:M20">
    <cfRule type="expression" dxfId="32" priority="6">
      <formula>$M9="Yes"</formula>
    </cfRule>
    <cfRule type="expression" dxfId="31" priority="7">
      <formula>$M9="No"</formula>
    </cfRule>
  </conditionalFormatting>
  <conditionalFormatting sqref="N9:N20">
    <cfRule type="expression" dxfId="30" priority="8">
      <formula>$N9="Yes"</formula>
    </cfRule>
    <cfRule type="expression" dxfId="29" priority="9">
      <formula>$N9="No"</formula>
    </cfRule>
  </conditionalFormatting>
  <dataValidations count="4">
    <dataValidation type="list" allowBlank="1" sqref="G9:G20" xr:uid="{00000000-0002-0000-1000-000000000000}">
      <formula1>Owners</formula1>
      <formula2>0</formula2>
    </dataValidation>
    <dataValidation type="list" allowBlank="1" sqref="C9:C20" xr:uid="{00000000-0002-0000-1000-000001000000}">
      <formula1>IssueCategories</formula1>
      <formula2>0</formula2>
    </dataValidation>
    <dataValidation type="list" allowBlank="1" sqref="J9:J20" xr:uid="{00000000-0002-0000-1000-000002000000}">
      <formula1>IssueStatus</formula1>
      <formula2>0</formula2>
    </dataValidation>
    <dataValidation type="list" allowBlank="1" sqref="M9:M20" xr:uid="{00000000-0002-0000-1000-000003000000}">
      <formula1>YesNo</formula1>
      <formula2>0</formula2>
    </dataValidation>
  </dataValidations>
  <hyperlinks>
    <hyperlink ref="A3" r:id="rId1" location="'Start%20Here'!A1" xr:uid="{00000000-0004-0000-1000-000000000000}"/>
    <hyperlink ref="B3" r:id="rId2" location="'UAT%20Overview'!A1" xr:uid="{00000000-0004-0000-1000-000001000000}"/>
    <hyperlink ref="C3" r:id="rId3" location="'Executive%20Dashboard'!A1" xr:uid="{00000000-0004-0000-1000-000002000000}"/>
    <hyperlink ref="D3" r:id="rId4" location="'Operational%20Dashboard'!A1" xr:uid="{00000000-0004-0000-1000-000003000000}"/>
    <hyperlink ref="E3" r:id="rId5" location="'Readiness%20Checklist'!A1" xr:uid="{00000000-0004-0000-1000-000004000000}"/>
  </hyperlinks>
  <pageMargins left="0.75" right="0.75" top="1" bottom="1"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20"/>
  <sheetViews>
    <sheetView zoomScaleNormal="100" workbookViewId="0">
      <pane ySplit="8" topLeftCell="A9" activePane="bottomLeft" state="frozen"/>
      <selection pane="bottomLeft" sqref="A1:P1"/>
    </sheetView>
  </sheetViews>
  <sheetFormatPr defaultColWidth="8.7109375" defaultRowHeight="15" customHeight="1" x14ac:dyDescent="0.25"/>
  <cols>
    <col min="1" max="2" width="12" customWidth="1"/>
    <col min="3" max="3" width="16" customWidth="1"/>
    <col min="4" max="4" width="34" customWidth="1"/>
    <col min="5" max="6" width="20" customWidth="1"/>
    <col min="7" max="7" width="12" customWidth="1"/>
    <col min="8" max="10" width="10" customWidth="1"/>
    <col min="11" max="12" width="26" customWidth="1"/>
    <col min="13" max="13" width="18" customWidth="1"/>
    <col min="14" max="15" width="14" customWidth="1"/>
    <col min="16" max="16" width="12" customWidth="1"/>
  </cols>
  <sheetData>
    <row r="1" spans="1:16" ht="25.5" customHeight="1" x14ac:dyDescent="0.25">
      <c r="A1" s="12" t="str">
        <f>'Branding &amp; Setup'!$B$9 &amp; " | Risk &amp; Assumptions"</f>
        <v>Northbridge Citizens Services | Risk &amp; Assumptions</v>
      </c>
      <c r="B1" s="12"/>
      <c r="C1" s="12"/>
      <c r="D1" s="12"/>
      <c r="E1" s="12"/>
      <c r="F1" s="12"/>
      <c r="G1" s="12"/>
      <c r="H1" s="12"/>
      <c r="I1" s="12"/>
      <c r="J1" s="12"/>
      <c r="K1" s="12"/>
      <c r="L1" s="12"/>
      <c r="M1" s="12"/>
      <c r="N1" s="12"/>
      <c r="O1" s="12"/>
      <c r="P1" s="12"/>
    </row>
    <row r="2" spans="1:16"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c r="O2" s="11"/>
      <c r="P2" s="11"/>
    </row>
    <row r="3" spans="1:16" ht="18" customHeight="1" x14ac:dyDescent="0.25">
      <c r="A3" s="13" t="s">
        <v>0</v>
      </c>
      <c r="B3" s="13" t="s">
        <v>1</v>
      </c>
      <c r="C3" s="13" t="s">
        <v>2</v>
      </c>
      <c r="D3" s="13" t="s">
        <v>3</v>
      </c>
      <c r="E3" s="13" t="s">
        <v>4</v>
      </c>
    </row>
    <row r="4" spans="1:16" ht="18" customHeight="1" x14ac:dyDescent="0.25">
      <c r="A4" s="10" t="s">
        <v>1198</v>
      </c>
      <c r="B4" s="10"/>
      <c r="C4" s="10"/>
      <c r="D4" s="10"/>
      <c r="E4" s="10"/>
      <c r="F4" s="10"/>
      <c r="G4" s="10"/>
      <c r="H4" s="10"/>
      <c r="I4" s="10"/>
      <c r="J4" s="10"/>
      <c r="K4" s="10"/>
      <c r="L4" s="10"/>
      <c r="M4" s="10"/>
      <c r="N4" s="10"/>
      <c r="O4" s="10"/>
      <c r="P4" s="10"/>
    </row>
    <row r="5" spans="1:16" ht="18" customHeight="1" x14ac:dyDescent="0.25">
      <c r="A5" s="10"/>
      <c r="B5" s="10"/>
      <c r="C5" s="10"/>
      <c r="D5" s="10"/>
      <c r="E5" s="10"/>
      <c r="F5" s="10"/>
      <c r="G5" s="10"/>
      <c r="H5" s="10"/>
      <c r="I5" s="10"/>
      <c r="J5" s="10"/>
      <c r="K5" s="10"/>
      <c r="L5" s="10"/>
      <c r="M5" s="10"/>
      <c r="N5" s="10"/>
      <c r="O5" s="10"/>
      <c r="P5" s="10"/>
    </row>
    <row r="6" spans="1:16" ht="18" customHeight="1" x14ac:dyDescent="0.25">
      <c r="A6" s="10"/>
      <c r="B6" s="10"/>
      <c r="C6" s="10"/>
      <c r="D6" s="10"/>
      <c r="E6" s="10"/>
      <c r="F6" s="10"/>
      <c r="G6" s="10"/>
      <c r="H6" s="10"/>
      <c r="I6" s="10"/>
      <c r="J6" s="10"/>
      <c r="K6" s="10"/>
      <c r="L6" s="10"/>
      <c r="M6" s="10"/>
      <c r="N6" s="10"/>
      <c r="O6" s="10"/>
      <c r="P6" s="10"/>
    </row>
    <row r="8" spans="1:16" x14ac:dyDescent="0.25">
      <c r="A8" s="21" t="s">
        <v>1199</v>
      </c>
      <c r="B8" s="21" t="s">
        <v>1200</v>
      </c>
      <c r="C8" s="21" t="s">
        <v>494</v>
      </c>
      <c r="D8" s="21" t="s">
        <v>223</v>
      </c>
      <c r="E8" s="21" t="s">
        <v>1201</v>
      </c>
      <c r="F8" s="21" t="s">
        <v>1202</v>
      </c>
      <c r="G8" s="21" t="s">
        <v>1203</v>
      </c>
      <c r="H8" s="21" t="s">
        <v>499</v>
      </c>
      <c r="I8" s="21" t="s">
        <v>1204</v>
      </c>
      <c r="J8" s="21" t="s">
        <v>1205</v>
      </c>
      <c r="K8" s="21" t="s">
        <v>500</v>
      </c>
      <c r="L8" s="21" t="s">
        <v>1206</v>
      </c>
      <c r="M8" s="21" t="s">
        <v>226</v>
      </c>
      <c r="N8" s="21" t="s">
        <v>1207</v>
      </c>
      <c r="O8" s="21" t="s">
        <v>151</v>
      </c>
      <c r="P8" s="21" t="s">
        <v>501</v>
      </c>
    </row>
    <row r="9" spans="1:16" ht="38.25" x14ac:dyDescent="0.25">
      <c r="A9" s="16" t="s">
        <v>1208</v>
      </c>
      <c r="B9" s="16" t="s">
        <v>1209</v>
      </c>
      <c r="C9" s="16" t="s">
        <v>249</v>
      </c>
      <c r="D9" s="25" t="s">
        <v>1210</v>
      </c>
      <c r="E9" s="16" t="s">
        <v>1211</v>
      </c>
      <c r="F9" s="16" t="s">
        <v>1212</v>
      </c>
      <c r="G9" s="19">
        <v>5</v>
      </c>
      <c r="H9" s="19">
        <v>4</v>
      </c>
      <c r="I9" s="26">
        <f t="shared" ref="I9:I20" si="0">G9*H9</f>
        <v>20</v>
      </c>
      <c r="J9" s="27" t="str">
        <f t="shared" ref="J9:J20" si="1">IF(I9&gt;=16,"Red",IF(I9&gt;=9,"Amber","Green"))</f>
        <v>Red</v>
      </c>
      <c r="K9" s="25" t="s">
        <v>1213</v>
      </c>
      <c r="L9" s="25" t="s">
        <v>1214</v>
      </c>
      <c r="M9" s="16" t="s">
        <v>231</v>
      </c>
      <c r="N9" s="17">
        <v>46097</v>
      </c>
      <c r="O9" s="16" t="s">
        <v>1071</v>
      </c>
      <c r="P9" s="27" t="str">
        <f>IF(AND(O9&lt;&gt;"Closed",'Branding &amp; Setup'!$B$12&gt;N9),"Yes","No")</f>
        <v>No</v>
      </c>
    </row>
    <row r="10" spans="1:16" ht="38.25" x14ac:dyDescent="0.25">
      <c r="A10" s="16" t="s">
        <v>1215</v>
      </c>
      <c r="B10" s="16" t="s">
        <v>1209</v>
      </c>
      <c r="C10" s="16" t="s">
        <v>1216</v>
      </c>
      <c r="D10" s="25" t="s">
        <v>1210</v>
      </c>
      <c r="E10" s="16" t="s">
        <v>1217</v>
      </c>
      <c r="F10" s="16" t="s">
        <v>1212</v>
      </c>
      <c r="G10" s="19">
        <v>4</v>
      </c>
      <c r="H10" s="19">
        <v>4</v>
      </c>
      <c r="I10" s="26">
        <f t="shared" si="0"/>
        <v>16</v>
      </c>
      <c r="J10" s="27" t="str">
        <f t="shared" si="1"/>
        <v>Red</v>
      </c>
      <c r="K10" s="25" t="s">
        <v>1218</v>
      </c>
      <c r="L10" s="25" t="s">
        <v>1214</v>
      </c>
      <c r="M10" s="16" t="s">
        <v>299</v>
      </c>
      <c r="N10" s="17">
        <v>46090</v>
      </c>
      <c r="O10" s="16" t="s">
        <v>1071</v>
      </c>
      <c r="P10" s="27" t="str">
        <f>IF(AND(O10&lt;&gt;"Closed",'Branding &amp; Setup'!$B$12&gt;N10),"Yes","No")</f>
        <v>No</v>
      </c>
    </row>
    <row r="11" spans="1:16" ht="25.5" x14ac:dyDescent="0.25">
      <c r="A11" s="16" t="s">
        <v>1219</v>
      </c>
      <c r="B11" s="16" t="s">
        <v>1220</v>
      </c>
      <c r="C11" s="16" t="s">
        <v>1221</v>
      </c>
      <c r="D11" s="25" t="s">
        <v>1222</v>
      </c>
      <c r="E11" s="16" t="s">
        <v>1223</v>
      </c>
      <c r="F11" s="16" t="s">
        <v>1224</v>
      </c>
      <c r="G11" s="19">
        <v>3</v>
      </c>
      <c r="H11" s="19">
        <v>4</v>
      </c>
      <c r="I11" s="26">
        <f t="shared" si="0"/>
        <v>12</v>
      </c>
      <c r="J11" s="27" t="str">
        <f t="shared" si="1"/>
        <v>Amber</v>
      </c>
      <c r="K11" s="25" t="s">
        <v>1218</v>
      </c>
      <c r="L11" s="25" t="s">
        <v>1225</v>
      </c>
      <c r="M11" s="16" t="s">
        <v>299</v>
      </c>
      <c r="N11" s="17">
        <v>46093</v>
      </c>
      <c r="O11" s="16" t="s">
        <v>1226</v>
      </c>
      <c r="P11" s="27" t="str">
        <f>IF(AND(O11&lt;&gt;"Closed",'Branding &amp; Setup'!$B$12&gt;N11),"Yes","No")</f>
        <v>No</v>
      </c>
    </row>
    <row r="12" spans="1:16" ht="38.25" x14ac:dyDescent="0.25">
      <c r="A12" s="16" t="s">
        <v>1227</v>
      </c>
      <c r="B12" s="16" t="s">
        <v>1220</v>
      </c>
      <c r="C12" s="16" t="s">
        <v>1228</v>
      </c>
      <c r="D12" s="25" t="s">
        <v>1222</v>
      </c>
      <c r="E12" s="16" t="s">
        <v>1223</v>
      </c>
      <c r="F12" s="16" t="s">
        <v>1229</v>
      </c>
      <c r="G12" s="19">
        <v>2</v>
      </c>
      <c r="H12" s="19">
        <v>4</v>
      </c>
      <c r="I12" s="26">
        <f t="shared" si="0"/>
        <v>8</v>
      </c>
      <c r="J12" s="27" t="str">
        <f t="shared" si="1"/>
        <v>Green</v>
      </c>
      <c r="K12" s="25" t="s">
        <v>1213</v>
      </c>
      <c r="L12" s="25" t="s">
        <v>1230</v>
      </c>
      <c r="M12" s="16" t="s">
        <v>79</v>
      </c>
      <c r="N12" s="17">
        <v>46101</v>
      </c>
      <c r="O12" s="16" t="s">
        <v>1099</v>
      </c>
      <c r="P12" s="27" t="str">
        <f>IF(AND(O12&lt;&gt;"Closed",'Branding &amp; Setup'!$B$12&gt;N12),"Yes","No")</f>
        <v>No</v>
      </c>
    </row>
    <row r="13" spans="1:16" ht="38.25" x14ac:dyDescent="0.25">
      <c r="A13" s="16" t="s">
        <v>1231</v>
      </c>
      <c r="B13" s="16" t="s">
        <v>1220</v>
      </c>
      <c r="C13" s="16" t="s">
        <v>1165</v>
      </c>
      <c r="D13" s="25" t="s">
        <v>1210</v>
      </c>
      <c r="E13" s="16" t="s">
        <v>1217</v>
      </c>
      <c r="F13" s="25" t="s">
        <v>1232</v>
      </c>
      <c r="G13" s="19">
        <v>4</v>
      </c>
      <c r="H13" s="19">
        <v>4</v>
      </c>
      <c r="I13" s="26">
        <f t="shared" si="0"/>
        <v>16</v>
      </c>
      <c r="J13" s="27" t="str">
        <f t="shared" si="1"/>
        <v>Red</v>
      </c>
      <c r="K13" s="25" t="s">
        <v>1218</v>
      </c>
      <c r="L13" s="25" t="s">
        <v>1214</v>
      </c>
      <c r="M13" s="16" t="s">
        <v>81</v>
      </c>
      <c r="N13" s="17">
        <v>46103</v>
      </c>
      <c r="O13" s="16" t="s">
        <v>1099</v>
      </c>
      <c r="P13" s="27" t="str">
        <f>IF(AND(O13&lt;&gt;"Closed",'Branding &amp; Setup'!$B$12&gt;N13),"Yes","No")</f>
        <v>No</v>
      </c>
    </row>
    <row r="14" spans="1:16" ht="25.5" x14ac:dyDescent="0.25">
      <c r="A14" s="16" t="s">
        <v>1233</v>
      </c>
      <c r="B14" s="16" t="s">
        <v>1209</v>
      </c>
      <c r="C14" s="16" t="s">
        <v>1228</v>
      </c>
      <c r="D14" s="25" t="s">
        <v>1234</v>
      </c>
      <c r="E14" s="16" t="s">
        <v>1211</v>
      </c>
      <c r="F14" s="16" t="s">
        <v>1212</v>
      </c>
      <c r="G14" s="19">
        <v>3</v>
      </c>
      <c r="H14" s="19">
        <v>5</v>
      </c>
      <c r="I14" s="26">
        <f t="shared" si="0"/>
        <v>15</v>
      </c>
      <c r="J14" s="27" t="str">
        <f t="shared" si="1"/>
        <v>Amber</v>
      </c>
      <c r="K14" s="25" t="s">
        <v>1235</v>
      </c>
      <c r="L14" s="25" t="s">
        <v>1225</v>
      </c>
      <c r="M14" s="16" t="s">
        <v>241</v>
      </c>
      <c r="N14" s="17">
        <v>46103</v>
      </c>
      <c r="O14" s="16" t="s">
        <v>1071</v>
      </c>
      <c r="P14" s="27" t="str">
        <f>IF(AND(O14&lt;&gt;"Closed",'Branding &amp; Setup'!$B$12&gt;N14),"Yes","No")</f>
        <v>No</v>
      </c>
    </row>
    <row r="15" spans="1:16" ht="25.5" x14ac:dyDescent="0.25">
      <c r="A15" s="16" t="s">
        <v>1236</v>
      </c>
      <c r="B15" s="16" t="s">
        <v>1209</v>
      </c>
      <c r="C15" s="16" t="s">
        <v>1228</v>
      </c>
      <c r="D15" s="25" t="s">
        <v>1234</v>
      </c>
      <c r="E15" s="16" t="s">
        <v>1223</v>
      </c>
      <c r="F15" s="16" t="s">
        <v>1224</v>
      </c>
      <c r="G15" s="19">
        <v>4</v>
      </c>
      <c r="H15" s="19">
        <v>5</v>
      </c>
      <c r="I15" s="26">
        <f t="shared" si="0"/>
        <v>20</v>
      </c>
      <c r="J15" s="27" t="str">
        <f t="shared" si="1"/>
        <v>Red</v>
      </c>
      <c r="K15" s="25" t="s">
        <v>1237</v>
      </c>
      <c r="L15" s="25" t="s">
        <v>1225</v>
      </c>
      <c r="M15" s="16" t="s">
        <v>231</v>
      </c>
      <c r="N15" s="17">
        <v>46103</v>
      </c>
      <c r="O15" s="16" t="s">
        <v>1226</v>
      </c>
      <c r="P15" s="27" t="str">
        <f>IF(AND(O15&lt;&gt;"Closed",'Branding &amp; Setup'!$B$12&gt;N15),"Yes","No")</f>
        <v>No</v>
      </c>
    </row>
    <row r="16" spans="1:16" ht="25.5" x14ac:dyDescent="0.25">
      <c r="A16" s="16" t="s">
        <v>1238</v>
      </c>
      <c r="B16" s="16" t="s">
        <v>1220</v>
      </c>
      <c r="C16" s="16" t="s">
        <v>1165</v>
      </c>
      <c r="D16" s="25" t="s">
        <v>1210</v>
      </c>
      <c r="E16" s="16" t="s">
        <v>1223</v>
      </c>
      <c r="F16" s="25" t="s">
        <v>1232</v>
      </c>
      <c r="G16" s="19">
        <v>4</v>
      </c>
      <c r="H16" s="19">
        <v>3</v>
      </c>
      <c r="I16" s="26">
        <f t="shared" si="0"/>
        <v>12</v>
      </c>
      <c r="J16" s="27" t="str">
        <f t="shared" si="1"/>
        <v>Amber</v>
      </c>
      <c r="K16" s="25" t="s">
        <v>1237</v>
      </c>
      <c r="L16" s="25" t="s">
        <v>1225</v>
      </c>
      <c r="M16" s="16" t="s">
        <v>79</v>
      </c>
      <c r="N16" s="17">
        <v>46100</v>
      </c>
      <c r="O16" s="16" t="s">
        <v>1099</v>
      </c>
      <c r="P16" s="27" t="str">
        <f>IF(AND(O16&lt;&gt;"Closed",'Branding &amp; Setup'!$B$12&gt;N16),"Yes","No")</f>
        <v>No</v>
      </c>
    </row>
    <row r="17" spans="1:16" ht="25.5" x14ac:dyDescent="0.25">
      <c r="A17" s="16" t="s">
        <v>1239</v>
      </c>
      <c r="B17" s="16" t="s">
        <v>1209</v>
      </c>
      <c r="C17" s="16" t="s">
        <v>249</v>
      </c>
      <c r="D17" s="25" t="s">
        <v>1240</v>
      </c>
      <c r="E17" s="16" t="s">
        <v>1241</v>
      </c>
      <c r="F17" s="16" t="s">
        <v>1229</v>
      </c>
      <c r="G17" s="19">
        <v>2</v>
      </c>
      <c r="H17" s="19">
        <v>4</v>
      </c>
      <c r="I17" s="26">
        <f t="shared" si="0"/>
        <v>8</v>
      </c>
      <c r="J17" s="27" t="str">
        <f t="shared" si="1"/>
        <v>Green</v>
      </c>
      <c r="K17" s="25" t="s">
        <v>1237</v>
      </c>
      <c r="L17" s="25" t="s">
        <v>1242</v>
      </c>
      <c r="M17" s="16" t="s">
        <v>231</v>
      </c>
      <c r="N17" s="17">
        <v>46097</v>
      </c>
      <c r="O17" s="16" t="s">
        <v>1099</v>
      </c>
      <c r="P17" s="27" t="str">
        <f>IF(AND(O17&lt;&gt;"Closed",'Branding &amp; Setup'!$B$12&gt;N17),"Yes","No")</f>
        <v>No</v>
      </c>
    </row>
    <row r="18" spans="1:16" ht="25.5" x14ac:dyDescent="0.25">
      <c r="A18" s="16" t="s">
        <v>1243</v>
      </c>
      <c r="B18" s="16" t="s">
        <v>1209</v>
      </c>
      <c r="C18" s="16" t="s">
        <v>1244</v>
      </c>
      <c r="D18" s="25" t="s">
        <v>1240</v>
      </c>
      <c r="E18" s="16" t="s">
        <v>1211</v>
      </c>
      <c r="F18" s="25" t="s">
        <v>1232</v>
      </c>
      <c r="G18" s="19">
        <v>3</v>
      </c>
      <c r="H18" s="19">
        <v>5</v>
      </c>
      <c r="I18" s="26">
        <f t="shared" si="0"/>
        <v>15</v>
      </c>
      <c r="J18" s="27" t="str">
        <f t="shared" si="1"/>
        <v>Amber</v>
      </c>
      <c r="K18" s="25" t="s">
        <v>1218</v>
      </c>
      <c r="L18" s="25" t="s">
        <v>1242</v>
      </c>
      <c r="M18" s="16" t="s">
        <v>79</v>
      </c>
      <c r="N18" s="17">
        <v>46100</v>
      </c>
      <c r="O18" s="16" t="s">
        <v>1099</v>
      </c>
      <c r="P18" s="27" t="str">
        <f>IF(AND(O18&lt;&gt;"Closed",'Branding &amp; Setup'!$B$12&gt;N18),"Yes","No")</f>
        <v>No</v>
      </c>
    </row>
    <row r="19" spans="1:16" ht="38.25" x14ac:dyDescent="0.25">
      <c r="A19" s="16" t="s">
        <v>1245</v>
      </c>
      <c r="B19" s="16" t="s">
        <v>1209</v>
      </c>
      <c r="C19" s="16" t="s">
        <v>1228</v>
      </c>
      <c r="D19" s="25" t="s">
        <v>1240</v>
      </c>
      <c r="E19" s="16" t="s">
        <v>1223</v>
      </c>
      <c r="F19" s="25" t="s">
        <v>1232</v>
      </c>
      <c r="G19" s="19">
        <v>3</v>
      </c>
      <c r="H19" s="19">
        <v>4</v>
      </c>
      <c r="I19" s="26">
        <f t="shared" si="0"/>
        <v>12</v>
      </c>
      <c r="J19" s="27" t="str">
        <f t="shared" si="1"/>
        <v>Amber</v>
      </c>
      <c r="K19" s="25" t="s">
        <v>1218</v>
      </c>
      <c r="L19" s="25" t="s">
        <v>1214</v>
      </c>
      <c r="M19" s="16" t="s">
        <v>299</v>
      </c>
      <c r="N19" s="17">
        <v>46091</v>
      </c>
      <c r="O19" s="16" t="s">
        <v>1071</v>
      </c>
      <c r="P19" s="27" t="str">
        <f>IF(AND(O19&lt;&gt;"Closed",'Branding &amp; Setup'!$B$12&gt;N19),"Yes","No")</f>
        <v>No</v>
      </c>
    </row>
    <row r="20" spans="1:16" ht="25.5" x14ac:dyDescent="0.25">
      <c r="A20" s="16" t="s">
        <v>1246</v>
      </c>
      <c r="B20" s="16" t="s">
        <v>1209</v>
      </c>
      <c r="C20" s="16" t="s">
        <v>1216</v>
      </c>
      <c r="D20" s="25" t="s">
        <v>1247</v>
      </c>
      <c r="E20" s="16" t="s">
        <v>1248</v>
      </c>
      <c r="F20" s="16" t="s">
        <v>1212</v>
      </c>
      <c r="G20" s="19">
        <v>2</v>
      </c>
      <c r="H20" s="19">
        <v>5</v>
      </c>
      <c r="I20" s="26">
        <f t="shared" si="0"/>
        <v>10</v>
      </c>
      <c r="J20" s="27" t="str">
        <f t="shared" si="1"/>
        <v>Amber</v>
      </c>
      <c r="K20" s="25" t="s">
        <v>1218</v>
      </c>
      <c r="L20" s="25" t="s">
        <v>1242</v>
      </c>
      <c r="M20" s="16" t="s">
        <v>79</v>
      </c>
      <c r="N20" s="17">
        <v>46091</v>
      </c>
      <c r="O20" s="16" t="s">
        <v>1226</v>
      </c>
      <c r="P20" s="27" t="str">
        <f>IF(AND(O20&lt;&gt;"Closed",'Branding &amp; Setup'!$B$12&gt;N20),"Yes","No")</f>
        <v>Yes</v>
      </c>
    </row>
  </sheetData>
  <autoFilter ref="A8:P20" xr:uid="{00000000-0009-0000-0000-000011000000}"/>
  <mergeCells count="3">
    <mergeCell ref="A1:P1"/>
    <mergeCell ref="A2:P2"/>
    <mergeCell ref="A4:P6"/>
  </mergeCells>
  <conditionalFormatting sqref="J9:J20">
    <cfRule type="expression" dxfId="28" priority="2">
      <formula>$J9="Red"</formula>
    </cfRule>
    <cfRule type="expression" dxfId="27" priority="3">
      <formula>$J9="Amber"</formula>
    </cfRule>
    <cfRule type="expression" dxfId="26" priority="4">
      <formula>$J9="Green"</formula>
    </cfRule>
  </conditionalFormatting>
  <conditionalFormatting sqref="O9:O20">
    <cfRule type="expression" dxfId="25" priority="5">
      <formula>$O9="Open"</formula>
    </cfRule>
    <cfRule type="expression" dxfId="24" priority="6">
      <formula>$O9="Mitigating"</formula>
    </cfRule>
    <cfRule type="expression" dxfId="23" priority="7">
      <formula>$O9="Closed"</formula>
    </cfRule>
  </conditionalFormatting>
  <conditionalFormatting sqref="P9:P20">
    <cfRule type="expression" dxfId="22" priority="8">
      <formula>$P9="Yes"</formula>
    </cfRule>
    <cfRule type="expression" dxfId="21" priority="9">
      <formula>$P9="No"</formula>
    </cfRule>
  </conditionalFormatting>
  <dataValidations count="4">
    <dataValidation type="list" allowBlank="1" sqref="B9:B20" xr:uid="{00000000-0002-0000-1100-000000000000}">
      <formula1>RiskType</formula1>
      <formula2>0</formula2>
    </dataValidation>
    <dataValidation type="list" allowBlank="1" sqref="M9:M20" xr:uid="{00000000-0002-0000-1100-000001000000}">
      <formula1>Owners</formula1>
      <formula2>0</formula2>
    </dataValidation>
    <dataValidation type="list" allowBlank="1" sqref="O9:O20" xr:uid="{00000000-0002-0000-1100-000002000000}">
      <formula1>RiskStatus</formula1>
      <formula2>0</formula2>
    </dataValidation>
    <dataValidation type="whole" allowBlank="1" sqref="G9:H20" xr:uid="{00000000-0002-0000-1100-000003000000}">
      <formula1>1</formula1>
      <formula2>5</formula2>
    </dataValidation>
  </dataValidations>
  <hyperlinks>
    <hyperlink ref="A3" r:id="rId1" location="'Start%20Here'!A1" xr:uid="{00000000-0004-0000-1100-000000000000}"/>
    <hyperlink ref="B3" r:id="rId2" location="'UAT%20Overview'!A1" xr:uid="{00000000-0004-0000-1100-000001000000}"/>
    <hyperlink ref="C3" r:id="rId3" location="'Executive%20Dashboard'!A1" xr:uid="{00000000-0004-0000-1100-000002000000}"/>
    <hyperlink ref="D3" r:id="rId4" location="'Operational%20Dashboard'!A1" xr:uid="{00000000-0004-0000-1100-000003000000}"/>
    <hyperlink ref="E3" r:id="rId5" location="'Readiness%20Checklist'!A1" xr:uid="{00000000-0004-0000-1100-000004000000}"/>
  </hyperlinks>
  <pageMargins left="0.75" right="0.75" top="1" bottom="1"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8"/>
  <sheetViews>
    <sheetView zoomScaleNormal="100" workbookViewId="0">
      <pane ySplit="8" topLeftCell="A9" activePane="bottomLeft" state="frozen"/>
      <selection pane="bottomLeft" sqref="A1:M1"/>
    </sheetView>
  </sheetViews>
  <sheetFormatPr defaultColWidth="8.7109375" defaultRowHeight="15" customHeight="1" x14ac:dyDescent="0.25"/>
  <cols>
    <col min="1" max="1" width="12" customWidth="1"/>
    <col min="2" max="2" width="14" customWidth="1"/>
    <col min="3" max="3" width="28" customWidth="1"/>
    <col min="4" max="4" width="34" customWidth="1"/>
    <col min="5" max="5" width="18" customWidth="1"/>
    <col min="6" max="7" width="16" customWidth="1"/>
    <col min="8" max="8" width="18" customWidth="1"/>
    <col min="9" max="9" width="16" customWidth="1"/>
    <col min="10" max="10" width="24" customWidth="1"/>
    <col min="11" max="11" width="14" customWidth="1"/>
    <col min="12" max="13" width="12" customWidth="1"/>
  </cols>
  <sheetData>
    <row r="1" spans="1:13" ht="25.5" customHeight="1" x14ac:dyDescent="0.25">
      <c r="A1" s="12" t="str">
        <f>'Branding &amp; Setup'!$B$9 &amp; " | Decision Log"</f>
        <v>Northbridge Citizens Services | Decision Log</v>
      </c>
      <c r="B1" s="12"/>
      <c r="C1" s="12"/>
      <c r="D1" s="12"/>
      <c r="E1" s="12"/>
      <c r="F1" s="12"/>
      <c r="G1" s="12"/>
      <c r="H1" s="12"/>
      <c r="I1" s="12"/>
      <c r="J1" s="12"/>
      <c r="K1" s="12"/>
      <c r="L1" s="12"/>
      <c r="M1" s="12"/>
    </row>
    <row r="2" spans="1:13"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row>
    <row r="3" spans="1:13" ht="18" customHeight="1" x14ac:dyDescent="0.25">
      <c r="A3" s="13" t="s">
        <v>0</v>
      </c>
      <c r="B3" s="13" t="s">
        <v>1</v>
      </c>
      <c r="C3" s="13" t="s">
        <v>2</v>
      </c>
      <c r="D3" s="13" t="s">
        <v>3</v>
      </c>
      <c r="E3" s="13" t="s">
        <v>4</v>
      </c>
    </row>
    <row r="4" spans="1:13" ht="18" customHeight="1" x14ac:dyDescent="0.25">
      <c r="A4" s="10" t="s">
        <v>1249</v>
      </c>
      <c r="B4" s="10"/>
      <c r="C4" s="10"/>
      <c r="D4" s="10"/>
      <c r="E4" s="10"/>
      <c r="F4" s="10"/>
      <c r="G4" s="10"/>
      <c r="H4" s="10"/>
      <c r="I4" s="10"/>
      <c r="J4" s="10"/>
      <c r="K4" s="10"/>
      <c r="L4" s="10"/>
      <c r="M4" s="10"/>
    </row>
    <row r="5" spans="1:13" ht="18" customHeight="1" x14ac:dyDescent="0.25">
      <c r="A5" s="10"/>
      <c r="B5" s="10"/>
      <c r="C5" s="10"/>
      <c r="D5" s="10"/>
      <c r="E5" s="10"/>
      <c r="F5" s="10"/>
      <c r="G5" s="10"/>
      <c r="H5" s="10"/>
      <c r="I5" s="10"/>
      <c r="J5" s="10"/>
      <c r="K5" s="10"/>
      <c r="L5" s="10"/>
      <c r="M5" s="10"/>
    </row>
    <row r="6" spans="1:13" ht="18" customHeight="1" x14ac:dyDescent="0.25">
      <c r="A6" s="10"/>
      <c r="B6" s="10"/>
      <c r="C6" s="10"/>
      <c r="D6" s="10"/>
      <c r="E6" s="10"/>
      <c r="F6" s="10"/>
      <c r="G6" s="10"/>
      <c r="H6" s="10"/>
      <c r="I6" s="10"/>
      <c r="J6" s="10"/>
      <c r="K6" s="10"/>
      <c r="L6" s="10"/>
      <c r="M6" s="10"/>
    </row>
    <row r="8" spans="1:13" x14ac:dyDescent="0.25">
      <c r="A8" s="21" t="s">
        <v>1250</v>
      </c>
      <c r="B8" s="21" t="s">
        <v>1251</v>
      </c>
      <c r="C8" s="21" t="s">
        <v>1252</v>
      </c>
      <c r="D8" s="21" t="s">
        <v>223</v>
      </c>
      <c r="E8" s="21" t="s">
        <v>1253</v>
      </c>
      <c r="F8" s="21" t="s">
        <v>1254</v>
      </c>
      <c r="G8" s="21" t="s">
        <v>1255</v>
      </c>
      <c r="H8" s="21" t="s">
        <v>1256</v>
      </c>
      <c r="I8" s="21" t="s">
        <v>1257</v>
      </c>
      <c r="J8" s="21" t="s">
        <v>1258</v>
      </c>
      <c r="K8" s="21" t="s">
        <v>566</v>
      </c>
      <c r="L8" s="21" t="s">
        <v>151</v>
      </c>
      <c r="M8" s="21" t="s">
        <v>501</v>
      </c>
    </row>
    <row r="9" spans="1:13" ht="38.25" x14ac:dyDescent="0.25">
      <c r="A9" s="16" t="s">
        <v>1259</v>
      </c>
      <c r="B9" s="17">
        <v>46079</v>
      </c>
      <c r="C9" s="25" t="s">
        <v>1260</v>
      </c>
      <c r="D9" s="25" t="s">
        <v>1261</v>
      </c>
      <c r="E9" s="16" t="s">
        <v>79</v>
      </c>
      <c r="F9" s="16" t="s">
        <v>1262</v>
      </c>
      <c r="G9" s="16" t="s">
        <v>1263</v>
      </c>
      <c r="H9" s="16" t="s">
        <v>1208</v>
      </c>
      <c r="I9" s="16" t="s">
        <v>198</v>
      </c>
      <c r="J9" s="25" t="s">
        <v>1264</v>
      </c>
      <c r="K9" s="17">
        <v>46084</v>
      </c>
      <c r="L9" s="16" t="s">
        <v>263</v>
      </c>
      <c r="M9" s="27" t="str">
        <f>IF(AND(L9&lt;&gt;"Complete",'Branding &amp; Setup'!$B$12&gt;K9),"Yes","No")</f>
        <v>Yes</v>
      </c>
    </row>
    <row r="10" spans="1:13" ht="38.25" x14ac:dyDescent="0.25">
      <c r="A10" s="16" t="s">
        <v>1265</v>
      </c>
      <c r="B10" s="17">
        <v>46089</v>
      </c>
      <c r="C10" s="25" t="s">
        <v>1266</v>
      </c>
      <c r="D10" s="25" t="s">
        <v>1261</v>
      </c>
      <c r="E10" s="16" t="s">
        <v>79</v>
      </c>
      <c r="F10" s="16" t="s">
        <v>1262</v>
      </c>
      <c r="G10" s="16" t="s">
        <v>1267</v>
      </c>
      <c r="H10" s="16" t="s">
        <v>1208</v>
      </c>
      <c r="I10" s="16" t="s">
        <v>747</v>
      </c>
      <c r="J10" s="25" t="s">
        <v>1268</v>
      </c>
      <c r="K10" s="17">
        <v>46094</v>
      </c>
      <c r="L10" s="16" t="s">
        <v>1099</v>
      </c>
      <c r="M10" s="27" t="str">
        <f>IF(AND(L10&lt;&gt;"Complete",'Branding &amp; Setup'!$B$12&gt;K10),"Yes","No")</f>
        <v>No</v>
      </c>
    </row>
    <row r="11" spans="1:13" ht="38.25" x14ac:dyDescent="0.25">
      <c r="A11" s="16" t="s">
        <v>1269</v>
      </c>
      <c r="B11" s="17">
        <v>46079</v>
      </c>
      <c r="C11" s="25" t="s">
        <v>1266</v>
      </c>
      <c r="D11" s="25" t="s">
        <v>1261</v>
      </c>
      <c r="E11" s="16" t="s">
        <v>231</v>
      </c>
      <c r="F11" s="16" t="s">
        <v>1270</v>
      </c>
      <c r="G11" s="16" t="s">
        <v>1271</v>
      </c>
      <c r="H11" s="16" t="s">
        <v>1208</v>
      </c>
      <c r="I11" s="16" t="s">
        <v>198</v>
      </c>
      <c r="J11" s="25" t="s">
        <v>1268</v>
      </c>
      <c r="K11" s="17">
        <v>46080</v>
      </c>
      <c r="L11" s="16" t="s">
        <v>263</v>
      </c>
      <c r="M11" s="27" t="str">
        <f>IF(AND(L11&lt;&gt;"Complete",'Branding &amp; Setup'!$B$12&gt;K11),"Yes","No")</f>
        <v>Yes</v>
      </c>
    </row>
    <row r="12" spans="1:13" ht="38.25" x14ac:dyDescent="0.25">
      <c r="A12" s="16" t="s">
        <v>1272</v>
      </c>
      <c r="B12" s="17">
        <v>46079</v>
      </c>
      <c r="C12" s="25" t="s">
        <v>1273</v>
      </c>
      <c r="D12" s="25" t="s">
        <v>1261</v>
      </c>
      <c r="E12" s="16" t="s">
        <v>81</v>
      </c>
      <c r="F12" s="16" t="s">
        <v>1274</v>
      </c>
      <c r="G12" s="16" t="s">
        <v>1275</v>
      </c>
      <c r="H12" s="16"/>
      <c r="I12" s="16" t="s">
        <v>747</v>
      </c>
      <c r="J12" s="25" t="s">
        <v>1276</v>
      </c>
      <c r="K12" s="17">
        <v>46083</v>
      </c>
      <c r="L12" s="16" t="s">
        <v>232</v>
      </c>
      <c r="M12" s="27" t="str">
        <f>IF(AND(L12&lt;&gt;"Complete",'Branding &amp; Setup'!$B$12&gt;K12),"Yes","No")</f>
        <v>No</v>
      </c>
    </row>
    <row r="13" spans="1:13" ht="38.25" x14ac:dyDescent="0.25">
      <c r="A13" s="16" t="s">
        <v>1277</v>
      </c>
      <c r="B13" s="17">
        <v>46085</v>
      </c>
      <c r="C13" s="25" t="s">
        <v>1278</v>
      </c>
      <c r="D13" s="25" t="s">
        <v>1261</v>
      </c>
      <c r="E13" s="16" t="s">
        <v>231</v>
      </c>
      <c r="F13" s="16" t="s">
        <v>1270</v>
      </c>
      <c r="G13" s="16" t="s">
        <v>1275</v>
      </c>
      <c r="H13" s="16" t="s">
        <v>883</v>
      </c>
      <c r="I13" s="16" t="s">
        <v>747</v>
      </c>
      <c r="J13" s="25" t="s">
        <v>1276</v>
      </c>
      <c r="K13" s="17">
        <v>46087</v>
      </c>
      <c r="L13" s="16" t="s">
        <v>232</v>
      </c>
      <c r="M13" s="27" t="str">
        <f>IF(AND(L13&lt;&gt;"Complete",'Branding &amp; Setup'!$B$12&gt;K13),"Yes","No")</f>
        <v>No</v>
      </c>
    </row>
    <row r="14" spans="1:13" ht="38.25" x14ac:dyDescent="0.25">
      <c r="A14" s="16" t="s">
        <v>1279</v>
      </c>
      <c r="B14" s="17">
        <v>46090</v>
      </c>
      <c r="C14" s="25" t="s">
        <v>1278</v>
      </c>
      <c r="D14" s="25" t="s">
        <v>1261</v>
      </c>
      <c r="E14" s="16" t="s">
        <v>241</v>
      </c>
      <c r="F14" s="16" t="s">
        <v>1274</v>
      </c>
      <c r="G14" s="16" t="s">
        <v>1271</v>
      </c>
      <c r="H14" s="16" t="s">
        <v>883</v>
      </c>
      <c r="I14" s="16" t="s">
        <v>198</v>
      </c>
      <c r="J14" s="25" t="s">
        <v>1264</v>
      </c>
      <c r="K14" s="17">
        <v>46094</v>
      </c>
      <c r="L14" s="16" t="s">
        <v>263</v>
      </c>
      <c r="M14" s="27" t="str">
        <f>IF(AND(L14&lt;&gt;"Complete",'Branding &amp; Setup'!$B$12&gt;K14),"Yes","No")</f>
        <v>No</v>
      </c>
    </row>
    <row r="15" spans="1:13" ht="38.25" x14ac:dyDescent="0.25">
      <c r="A15" s="16" t="s">
        <v>1280</v>
      </c>
      <c r="B15" s="17">
        <v>46078</v>
      </c>
      <c r="C15" s="25" t="s">
        <v>1273</v>
      </c>
      <c r="D15" s="25" t="s">
        <v>1261</v>
      </c>
      <c r="E15" s="16" t="s">
        <v>231</v>
      </c>
      <c r="F15" s="16" t="s">
        <v>1262</v>
      </c>
      <c r="G15" s="16" t="s">
        <v>1267</v>
      </c>
      <c r="H15" s="16" t="s">
        <v>926</v>
      </c>
      <c r="I15" s="16" t="s">
        <v>198</v>
      </c>
      <c r="J15" s="25" t="s">
        <v>1276</v>
      </c>
      <c r="K15" s="17">
        <v>46080</v>
      </c>
      <c r="L15" s="16" t="s">
        <v>263</v>
      </c>
      <c r="M15" s="27" t="str">
        <f>IF(AND(L15&lt;&gt;"Complete",'Branding &amp; Setup'!$B$12&gt;K15),"Yes","No")</f>
        <v>Yes</v>
      </c>
    </row>
    <row r="16" spans="1:13" ht="38.25" x14ac:dyDescent="0.25">
      <c r="A16" s="16" t="s">
        <v>1281</v>
      </c>
      <c r="B16" s="17">
        <v>46085</v>
      </c>
      <c r="C16" s="25" t="s">
        <v>1273</v>
      </c>
      <c r="D16" s="25" t="s">
        <v>1261</v>
      </c>
      <c r="E16" s="16" t="s">
        <v>81</v>
      </c>
      <c r="F16" s="16" t="s">
        <v>1262</v>
      </c>
      <c r="G16" s="16" t="s">
        <v>1263</v>
      </c>
      <c r="H16" s="16" t="s">
        <v>926</v>
      </c>
      <c r="I16" s="16" t="s">
        <v>1282</v>
      </c>
      <c r="J16" s="25" t="s">
        <v>1264</v>
      </c>
      <c r="K16" s="17">
        <v>46090</v>
      </c>
      <c r="L16" s="16" t="s">
        <v>263</v>
      </c>
      <c r="M16" s="27" t="str">
        <f>IF(AND(L16&lt;&gt;"Complete",'Branding &amp; Setup'!$B$12&gt;K16),"Yes","No")</f>
        <v>Yes</v>
      </c>
    </row>
    <row r="17" spans="1:13" ht="38.25" x14ac:dyDescent="0.25">
      <c r="A17" s="16" t="s">
        <v>1283</v>
      </c>
      <c r="B17" s="17">
        <v>46083</v>
      </c>
      <c r="C17" s="16" t="s">
        <v>1284</v>
      </c>
      <c r="D17" s="25" t="s">
        <v>1261</v>
      </c>
      <c r="E17" s="16" t="s">
        <v>241</v>
      </c>
      <c r="F17" s="16" t="s">
        <v>1285</v>
      </c>
      <c r="G17" s="16" t="s">
        <v>1267</v>
      </c>
      <c r="H17" s="16" t="s">
        <v>926</v>
      </c>
      <c r="I17" s="16" t="s">
        <v>198</v>
      </c>
      <c r="J17" s="25" t="s">
        <v>1286</v>
      </c>
      <c r="K17" s="17">
        <v>46086</v>
      </c>
      <c r="L17" s="16" t="s">
        <v>232</v>
      </c>
      <c r="M17" s="27" t="str">
        <f>IF(AND(L17&lt;&gt;"Complete",'Branding &amp; Setup'!$B$12&gt;K17),"Yes","No")</f>
        <v>No</v>
      </c>
    </row>
    <row r="18" spans="1:13" ht="38.25" x14ac:dyDescent="0.25">
      <c r="A18" s="16" t="s">
        <v>1287</v>
      </c>
      <c r="B18" s="17">
        <v>46082</v>
      </c>
      <c r="C18" s="16" t="s">
        <v>1284</v>
      </c>
      <c r="D18" s="25" t="s">
        <v>1261</v>
      </c>
      <c r="E18" s="16" t="s">
        <v>81</v>
      </c>
      <c r="F18" s="16" t="s">
        <v>1285</v>
      </c>
      <c r="G18" s="16" t="s">
        <v>1271</v>
      </c>
      <c r="H18" s="16" t="s">
        <v>883</v>
      </c>
      <c r="I18" s="16" t="s">
        <v>1282</v>
      </c>
      <c r="J18" s="25" t="s">
        <v>1268</v>
      </c>
      <c r="K18" s="17">
        <v>46084</v>
      </c>
      <c r="L18" s="16" t="s">
        <v>232</v>
      </c>
      <c r="M18" s="27" t="str">
        <f>IF(AND(L18&lt;&gt;"Complete",'Branding &amp; Setup'!$B$12&gt;K18),"Yes","No")</f>
        <v>No</v>
      </c>
    </row>
  </sheetData>
  <autoFilter ref="A8:M18" xr:uid="{00000000-0009-0000-0000-000012000000}"/>
  <mergeCells count="3">
    <mergeCell ref="A1:M1"/>
    <mergeCell ref="A2:M2"/>
    <mergeCell ref="A4:M6"/>
  </mergeCells>
  <conditionalFormatting sqref="L9:L18">
    <cfRule type="expression" dxfId="20" priority="2">
      <formula>$L9="Open"</formula>
    </cfRule>
    <cfRule type="expression" dxfId="19" priority="3">
      <formula>$L9="In Progress"</formula>
    </cfRule>
    <cfRule type="expression" dxfId="18" priority="4">
      <formula>$L9="Complete"</formula>
    </cfRule>
  </conditionalFormatting>
  <conditionalFormatting sqref="M9:M18">
    <cfRule type="expression" dxfId="17" priority="5">
      <formula>$M9="Yes"</formula>
    </cfRule>
    <cfRule type="expression" dxfId="16" priority="6">
      <formula>$M9="No"</formula>
    </cfRule>
  </conditionalFormatting>
  <dataValidations count="3">
    <dataValidation type="list" allowBlank="1" sqref="E9:E18" xr:uid="{00000000-0002-0000-1200-000000000000}">
      <formula1>Owners</formula1>
      <formula2>0</formula2>
    </dataValidation>
    <dataValidation type="list" allowBlank="1" sqref="F9:F18" xr:uid="{00000000-0002-0000-1200-000001000000}">
      <formula1>Forums</formula1>
      <formula2>0</formula2>
    </dataValidation>
    <dataValidation type="list" allowBlank="1" sqref="L9:L18" xr:uid="{00000000-0002-0000-1200-000002000000}">
      <formula1>DecisionStatus</formula1>
      <formula2>0</formula2>
    </dataValidation>
  </dataValidations>
  <hyperlinks>
    <hyperlink ref="A3" r:id="rId1" location="'Start%20Here'!A1" xr:uid="{00000000-0004-0000-1200-000000000000}"/>
    <hyperlink ref="B3" r:id="rId2" location="'UAT%20Overview'!A1" xr:uid="{00000000-0004-0000-1200-000001000000}"/>
    <hyperlink ref="C3" r:id="rId3" location="'Executive%20Dashboard'!A1" xr:uid="{00000000-0004-0000-1200-000002000000}"/>
    <hyperlink ref="D3" r:id="rId4" location="'Operational%20Dashboard'!A1" xr:uid="{00000000-0004-0000-1200-000003000000}"/>
    <hyperlink ref="E3" r:id="rId5" location="'Readiness%20Checklist'!A1" xr:uid="{00000000-0004-0000-1200-000004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showGridLines="0" zoomScaleNormal="100" workbookViewId="0">
      <pane ySplit="8" topLeftCell="A9" activePane="bottomLeft" state="frozen"/>
      <selection pane="bottomLeft" sqref="A1:L1"/>
    </sheetView>
  </sheetViews>
  <sheetFormatPr defaultColWidth="8.7109375" defaultRowHeight="15" customHeight="1" x14ac:dyDescent="0.25"/>
  <cols>
    <col min="1" max="1" width="24" customWidth="1"/>
    <col min="2" max="2" width="34" customWidth="1"/>
    <col min="3" max="4" width="18" customWidth="1"/>
    <col min="5" max="5" width="20" customWidth="1"/>
    <col min="6" max="6" width="18" customWidth="1"/>
    <col min="7" max="10" width="16" customWidth="1"/>
    <col min="11" max="12" width="18" customWidth="1"/>
  </cols>
  <sheetData>
    <row r="1" spans="1:12" ht="25.5" customHeight="1" x14ac:dyDescent="0.25">
      <c r="A1" s="12" t="s">
        <v>56</v>
      </c>
      <c r="B1" s="12"/>
      <c r="C1" s="12"/>
      <c r="D1" s="12"/>
      <c r="E1" s="12"/>
      <c r="F1" s="12"/>
      <c r="G1" s="12"/>
      <c r="H1" s="12"/>
      <c r="I1" s="12"/>
      <c r="J1" s="12"/>
      <c r="K1" s="12"/>
      <c r="L1" s="12"/>
    </row>
    <row r="2" spans="1:12" ht="19.5" customHeight="1" x14ac:dyDescent="0.25">
      <c r="A2" s="11" t="s">
        <v>57</v>
      </c>
      <c r="B2" s="11"/>
      <c r="C2" s="11"/>
      <c r="D2" s="11"/>
      <c r="E2" s="11"/>
      <c r="F2" s="11"/>
      <c r="G2" s="11"/>
      <c r="H2" s="11"/>
      <c r="I2" s="11"/>
      <c r="J2" s="11"/>
      <c r="K2" s="11"/>
      <c r="L2" s="11"/>
    </row>
    <row r="3" spans="1:12" ht="18" customHeight="1" x14ac:dyDescent="0.25">
      <c r="A3" s="13" t="s">
        <v>0</v>
      </c>
      <c r="B3" s="13" t="s">
        <v>1</v>
      </c>
      <c r="C3" s="13" t="s">
        <v>2</v>
      </c>
      <c r="D3" s="13" t="s">
        <v>3</v>
      </c>
      <c r="E3" s="13" t="s">
        <v>4</v>
      </c>
    </row>
    <row r="4" spans="1:12" ht="18" customHeight="1" x14ac:dyDescent="0.25">
      <c r="A4" s="10" t="s">
        <v>58</v>
      </c>
      <c r="B4" s="10"/>
      <c r="C4" s="10"/>
      <c r="D4" s="10"/>
      <c r="E4" s="10"/>
      <c r="F4" s="10"/>
      <c r="G4" s="10"/>
      <c r="H4" s="10"/>
      <c r="I4" s="10"/>
      <c r="J4" s="10"/>
      <c r="K4" s="10"/>
      <c r="L4" s="10"/>
    </row>
    <row r="5" spans="1:12" ht="18" customHeight="1" x14ac:dyDescent="0.25">
      <c r="A5" s="10"/>
      <c r="B5" s="10"/>
      <c r="C5" s="10"/>
      <c r="D5" s="10"/>
      <c r="E5" s="10"/>
      <c r="F5" s="10"/>
      <c r="G5" s="10"/>
      <c r="H5" s="10"/>
      <c r="I5" s="10"/>
      <c r="J5" s="10"/>
      <c r="K5" s="10"/>
      <c r="L5" s="10"/>
    </row>
    <row r="6" spans="1:12" ht="18" customHeight="1" x14ac:dyDescent="0.25">
      <c r="A6" s="10"/>
      <c r="B6" s="10"/>
      <c r="C6" s="10"/>
      <c r="D6" s="10"/>
      <c r="E6" s="10"/>
      <c r="F6" s="10"/>
      <c r="G6" s="10"/>
      <c r="H6" s="10"/>
      <c r="I6" s="10"/>
      <c r="J6" s="10"/>
      <c r="K6" s="10"/>
      <c r="L6" s="10"/>
    </row>
    <row r="8" spans="1:12" ht="15" customHeight="1" x14ac:dyDescent="0.25">
      <c r="A8" s="9" t="s">
        <v>59</v>
      </c>
      <c r="B8" s="9"/>
      <c r="C8" s="9"/>
      <c r="D8" s="9"/>
      <c r="E8" s="9"/>
      <c r="F8" s="9"/>
      <c r="H8" s="9" t="s">
        <v>60</v>
      </c>
      <c r="I8" s="9"/>
      <c r="J8" s="9"/>
      <c r="K8" s="9"/>
      <c r="L8" s="9"/>
    </row>
    <row r="9" spans="1:12" ht="21.75" customHeight="1" x14ac:dyDescent="0.25">
      <c r="A9" s="14" t="s">
        <v>61</v>
      </c>
      <c r="B9" s="16" t="s">
        <v>62</v>
      </c>
      <c r="H9" s="8" t="s">
        <v>63</v>
      </c>
      <c r="I9" s="8"/>
      <c r="J9" s="8"/>
      <c r="K9" s="8"/>
      <c r="L9" s="8"/>
    </row>
    <row r="10" spans="1:12" ht="21.75" customHeight="1" x14ac:dyDescent="0.25">
      <c r="A10" s="14" t="s">
        <v>64</v>
      </c>
      <c r="B10" s="16" t="s">
        <v>65</v>
      </c>
      <c r="H10" s="8" t="s">
        <v>66</v>
      </c>
      <c r="I10" s="8"/>
      <c r="J10" s="8"/>
      <c r="K10" s="8"/>
      <c r="L10" s="8"/>
    </row>
    <row r="11" spans="1:12" ht="21.75" customHeight="1" x14ac:dyDescent="0.25">
      <c r="A11" s="14" t="s">
        <v>67</v>
      </c>
      <c r="B11" s="16" t="s">
        <v>68</v>
      </c>
      <c r="H11" s="8" t="s">
        <v>69</v>
      </c>
      <c r="I11" s="8"/>
      <c r="J11" s="8"/>
      <c r="K11" s="8"/>
      <c r="L11" s="8"/>
    </row>
    <row r="12" spans="1:12" ht="21.75" customHeight="1" x14ac:dyDescent="0.25">
      <c r="A12" s="14" t="s">
        <v>70</v>
      </c>
      <c r="B12" s="17">
        <v>46093</v>
      </c>
      <c r="H12" s="8" t="s">
        <v>71</v>
      </c>
      <c r="I12" s="8"/>
      <c r="J12" s="8"/>
      <c r="K12" s="8"/>
      <c r="L12" s="8"/>
    </row>
    <row r="13" spans="1:12" ht="21.75" customHeight="1" x14ac:dyDescent="0.25">
      <c r="A13" s="14" t="s">
        <v>72</v>
      </c>
      <c r="B13" s="17">
        <v>46077</v>
      </c>
      <c r="H13" s="8" t="s">
        <v>73</v>
      </c>
      <c r="I13" s="8"/>
      <c r="J13" s="8"/>
      <c r="K13" s="8"/>
      <c r="L13" s="8"/>
    </row>
    <row r="14" spans="1:12" ht="21.75" customHeight="1" x14ac:dyDescent="0.25">
      <c r="A14" s="14" t="s">
        <v>74</v>
      </c>
      <c r="B14" s="17">
        <v>46101</v>
      </c>
    </row>
    <row r="15" spans="1:12" ht="21.75" customHeight="1" x14ac:dyDescent="0.25">
      <c r="A15" s="14" t="s">
        <v>75</v>
      </c>
      <c r="B15" s="16" t="s">
        <v>76</v>
      </c>
      <c r="H15" s="6" t="s">
        <v>77</v>
      </c>
      <c r="I15" s="6"/>
      <c r="J15" s="6"/>
      <c r="K15" s="6"/>
      <c r="L15" s="6"/>
    </row>
    <row r="16" spans="1:12" ht="21.75" customHeight="1" x14ac:dyDescent="0.25">
      <c r="A16" s="14" t="s">
        <v>78</v>
      </c>
      <c r="B16" s="16" t="s">
        <v>79</v>
      </c>
      <c r="H16" s="6"/>
      <c r="I16" s="6"/>
      <c r="J16" s="6"/>
      <c r="K16" s="6"/>
      <c r="L16" s="6"/>
    </row>
    <row r="17" spans="1:12" ht="21.75" customHeight="1" x14ac:dyDescent="0.25">
      <c r="A17" s="14" t="s">
        <v>80</v>
      </c>
      <c r="B17" s="16" t="s">
        <v>81</v>
      </c>
      <c r="H17" s="6"/>
      <c r="I17" s="6"/>
      <c r="J17" s="6"/>
      <c r="K17" s="6"/>
      <c r="L17" s="6"/>
    </row>
    <row r="18" spans="1:12" x14ac:dyDescent="0.25">
      <c r="H18" s="6"/>
      <c r="I18" s="6"/>
      <c r="J18" s="6"/>
      <c r="K18" s="6"/>
      <c r="L18" s="6"/>
    </row>
    <row r="19" spans="1:12" x14ac:dyDescent="0.25">
      <c r="H19" s="6"/>
      <c r="I19" s="6"/>
      <c r="J19" s="6"/>
      <c r="K19" s="6"/>
      <c r="L19" s="6"/>
    </row>
    <row r="20" spans="1:12" ht="15" customHeight="1" x14ac:dyDescent="0.25">
      <c r="A20" s="9" t="s">
        <v>82</v>
      </c>
      <c r="B20" s="9"/>
      <c r="C20" s="9"/>
      <c r="D20" s="9"/>
      <c r="E20" s="9"/>
      <c r="F20" s="9"/>
      <c r="H20" s="9" t="s">
        <v>83</v>
      </c>
      <c r="I20" s="9"/>
      <c r="J20" s="9"/>
      <c r="K20" s="9"/>
      <c r="L20" s="9"/>
    </row>
    <row r="21" spans="1:12" ht="21.75" customHeight="1" x14ac:dyDescent="0.25">
      <c r="A21" s="14" t="s">
        <v>84</v>
      </c>
      <c r="B21" s="18">
        <v>0.8</v>
      </c>
      <c r="H21" s="8" t="s">
        <v>85</v>
      </c>
      <c r="I21" s="8"/>
      <c r="J21" s="8"/>
      <c r="K21" s="8"/>
      <c r="L21" s="8"/>
    </row>
    <row r="22" spans="1:12" ht="21.75" customHeight="1" x14ac:dyDescent="0.25">
      <c r="A22" s="14" t="s">
        <v>86</v>
      </c>
      <c r="B22" s="18">
        <v>0.95</v>
      </c>
      <c r="H22" s="8" t="s">
        <v>87</v>
      </c>
      <c r="I22" s="8"/>
      <c r="J22" s="8"/>
      <c r="K22" s="8"/>
      <c r="L22" s="8"/>
    </row>
    <row r="23" spans="1:12" ht="21.75" customHeight="1" x14ac:dyDescent="0.25">
      <c r="A23" s="14" t="s">
        <v>88</v>
      </c>
      <c r="B23" s="18">
        <v>0.75</v>
      </c>
      <c r="H23" s="8" t="s">
        <v>89</v>
      </c>
      <c r="I23" s="8"/>
      <c r="J23" s="8"/>
      <c r="K23" s="8"/>
      <c r="L23" s="8"/>
    </row>
    <row r="24" spans="1:12" ht="21.75" customHeight="1" x14ac:dyDescent="0.25">
      <c r="A24" s="14" t="s">
        <v>90</v>
      </c>
      <c r="B24" s="18">
        <v>0.9</v>
      </c>
      <c r="H24" s="8" t="s">
        <v>91</v>
      </c>
      <c r="I24" s="8"/>
      <c r="J24" s="8"/>
      <c r="K24" s="8"/>
      <c r="L24" s="8"/>
    </row>
    <row r="25" spans="1:12" ht="21.75" customHeight="1" x14ac:dyDescent="0.25">
      <c r="A25" s="14" t="s">
        <v>92</v>
      </c>
      <c r="B25" s="18">
        <v>0.8</v>
      </c>
      <c r="H25" s="8" t="s">
        <v>93</v>
      </c>
      <c r="I25" s="8"/>
      <c r="J25" s="8"/>
      <c r="K25" s="8"/>
      <c r="L25" s="8"/>
    </row>
    <row r="26" spans="1:12" ht="21.75" customHeight="1" x14ac:dyDescent="0.25">
      <c r="A26" s="14" t="s">
        <v>94</v>
      </c>
      <c r="B26" s="18">
        <v>1</v>
      </c>
    </row>
    <row r="27" spans="1:12" ht="21.75" customHeight="1" x14ac:dyDescent="0.25">
      <c r="A27" s="14" t="s">
        <v>95</v>
      </c>
      <c r="B27" s="19">
        <v>0</v>
      </c>
    </row>
    <row r="28" spans="1:12" ht="21.75" customHeight="1" x14ac:dyDescent="0.25">
      <c r="A28" s="14" t="s">
        <v>96</v>
      </c>
      <c r="B28" s="19">
        <v>5</v>
      </c>
    </row>
    <row r="31" spans="1:12" ht="15" customHeight="1" x14ac:dyDescent="0.25">
      <c r="A31" s="9" t="s">
        <v>97</v>
      </c>
      <c r="B31" s="9"/>
      <c r="C31" s="9"/>
      <c r="D31" s="9"/>
      <c r="E31" s="9"/>
      <c r="F31" s="9"/>
    </row>
    <row r="32" spans="1:12" ht="21.75" customHeight="1" x14ac:dyDescent="0.25">
      <c r="A32" s="14" t="s">
        <v>98</v>
      </c>
      <c r="E32" s="16" t="s">
        <v>99</v>
      </c>
    </row>
    <row r="33" spans="1:5" ht="21.75" customHeight="1" x14ac:dyDescent="0.25">
      <c r="A33" s="14" t="s">
        <v>100</v>
      </c>
      <c r="E33" s="16" t="s">
        <v>99</v>
      </c>
    </row>
    <row r="34" spans="1:5" ht="21.75" customHeight="1" x14ac:dyDescent="0.25">
      <c r="A34" s="14" t="s">
        <v>101</v>
      </c>
      <c r="E34" s="16" t="s">
        <v>99</v>
      </c>
    </row>
    <row r="35" spans="1:5" ht="21.75" customHeight="1" x14ac:dyDescent="0.25">
      <c r="A35" s="14" t="s">
        <v>102</v>
      </c>
      <c r="E35" s="16" t="s">
        <v>103</v>
      </c>
    </row>
    <row r="36" spans="1:5" ht="21.75" customHeight="1" x14ac:dyDescent="0.25">
      <c r="A36" s="14" t="s">
        <v>104</v>
      </c>
      <c r="E36" s="16" t="s">
        <v>103</v>
      </c>
    </row>
  </sheetData>
  <mergeCells count="19">
    <mergeCell ref="H23:L23"/>
    <mergeCell ref="H24:L24"/>
    <mergeCell ref="H25:L25"/>
    <mergeCell ref="A31:F31"/>
    <mergeCell ref="H15:L19"/>
    <mergeCell ref="A20:F20"/>
    <mergeCell ref="H20:L20"/>
    <mergeCell ref="H21:L21"/>
    <mergeCell ref="H22:L22"/>
    <mergeCell ref="H9:L9"/>
    <mergeCell ref="H10:L10"/>
    <mergeCell ref="H11:L11"/>
    <mergeCell ref="H12:L12"/>
    <mergeCell ref="H13:L13"/>
    <mergeCell ref="A1:L1"/>
    <mergeCell ref="A2:L2"/>
    <mergeCell ref="A4:L6"/>
    <mergeCell ref="A8:F8"/>
    <mergeCell ref="H8:L8"/>
  </mergeCells>
  <hyperlinks>
    <hyperlink ref="A3" r:id="rId1" location="'Start%20Here'!A1" xr:uid="{00000000-0004-0000-0100-000000000000}"/>
    <hyperlink ref="B3" r:id="rId2" location="'UAT%20Overview'!A1" xr:uid="{00000000-0004-0000-0100-000001000000}"/>
    <hyperlink ref="C3" r:id="rId3" location="'Executive%20Dashboard'!A1" xr:uid="{00000000-0004-0000-0100-000002000000}"/>
    <hyperlink ref="D3" r:id="rId4" location="'Operational%20Dashboard'!A1" xr:uid="{00000000-0004-0000-0100-000003000000}"/>
    <hyperlink ref="E3" r:id="rId5" location="'Readiness%20Checklist'!A1" xr:uid="{00000000-0004-0000-0100-000004000000}"/>
  </hyperlinks>
  <pageMargins left="0.75" right="0.75" top="1" bottom="1"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8"/>
  <sheetViews>
    <sheetView zoomScaleNormal="100" workbookViewId="0">
      <pane ySplit="8" topLeftCell="A9" activePane="bottomLeft" state="frozen"/>
      <selection pane="bottomLeft" sqref="A1:L1"/>
    </sheetView>
  </sheetViews>
  <sheetFormatPr defaultColWidth="8.7109375" defaultRowHeight="15" customHeight="1" x14ac:dyDescent="0.25"/>
  <cols>
    <col min="1" max="12" width="18" customWidth="1"/>
  </cols>
  <sheetData>
    <row r="1" spans="1:12" ht="25.5" customHeight="1" x14ac:dyDescent="0.25">
      <c r="A1" s="12" t="str">
        <f>'Branding &amp; Setup'!$B$9 &amp; " | Status Report Input"</f>
        <v>Northbridge Citizens Services | Status Report Input</v>
      </c>
      <c r="B1" s="12"/>
      <c r="C1" s="12"/>
      <c r="D1" s="12"/>
      <c r="E1" s="12"/>
      <c r="F1" s="12"/>
      <c r="G1" s="12"/>
      <c r="H1" s="12"/>
      <c r="I1" s="12"/>
      <c r="J1" s="12"/>
      <c r="K1" s="12"/>
      <c r="L1" s="12"/>
    </row>
    <row r="2" spans="1:12"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row>
    <row r="3" spans="1:12" ht="18" customHeight="1" x14ac:dyDescent="0.25">
      <c r="A3" s="13" t="s">
        <v>0</v>
      </c>
      <c r="B3" s="13" t="s">
        <v>1</v>
      </c>
      <c r="C3" s="13" t="s">
        <v>2</v>
      </c>
      <c r="D3" s="13" t="s">
        <v>3</v>
      </c>
      <c r="E3" s="13" t="s">
        <v>4</v>
      </c>
    </row>
    <row r="4" spans="1:12" ht="18" customHeight="1" x14ac:dyDescent="0.25">
      <c r="A4" s="10" t="s">
        <v>1288</v>
      </c>
      <c r="B4" s="10"/>
      <c r="C4" s="10"/>
      <c r="D4" s="10"/>
      <c r="E4" s="10"/>
      <c r="F4" s="10"/>
      <c r="G4" s="10"/>
      <c r="H4" s="10"/>
      <c r="I4" s="10"/>
      <c r="J4" s="10"/>
      <c r="K4" s="10"/>
      <c r="L4" s="10"/>
    </row>
    <row r="5" spans="1:12" ht="18" customHeight="1" x14ac:dyDescent="0.25">
      <c r="A5" s="10"/>
      <c r="B5" s="10"/>
      <c r="C5" s="10"/>
      <c r="D5" s="10"/>
      <c r="E5" s="10"/>
      <c r="F5" s="10"/>
      <c r="G5" s="10"/>
      <c r="H5" s="10"/>
      <c r="I5" s="10"/>
      <c r="J5" s="10"/>
      <c r="K5" s="10"/>
      <c r="L5" s="10"/>
    </row>
    <row r="6" spans="1:12" ht="18" customHeight="1" x14ac:dyDescent="0.25">
      <c r="A6" s="10"/>
      <c r="B6" s="10"/>
      <c r="C6" s="10"/>
      <c r="D6" s="10"/>
      <c r="E6" s="10"/>
      <c r="F6" s="10"/>
      <c r="G6" s="10"/>
      <c r="H6" s="10"/>
      <c r="I6" s="10"/>
      <c r="J6" s="10"/>
      <c r="K6" s="10"/>
      <c r="L6" s="10"/>
    </row>
    <row r="8" spans="1:12" ht="15" customHeight="1" x14ac:dyDescent="0.25">
      <c r="A8" s="9" t="s">
        <v>1289</v>
      </c>
      <c r="B8" s="9"/>
      <c r="C8" s="9"/>
      <c r="D8" s="9"/>
      <c r="E8" s="9"/>
      <c r="F8" s="9"/>
      <c r="G8" s="9"/>
      <c r="H8" s="9"/>
      <c r="I8" s="9"/>
      <c r="J8" s="9"/>
      <c r="K8" s="9"/>
      <c r="L8" s="9"/>
    </row>
    <row r="9" spans="1:12" ht="15" customHeight="1" x14ac:dyDescent="0.25">
      <c r="A9" s="15" t="s">
        <v>1290</v>
      </c>
      <c r="B9" s="44" t="s">
        <v>156</v>
      </c>
      <c r="C9" s="44"/>
      <c r="D9" s="44"/>
      <c r="E9" s="44"/>
      <c r="F9" s="44"/>
      <c r="G9" s="44"/>
      <c r="H9" s="44"/>
      <c r="I9" s="44"/>
      <c r="J9" s="44"/>
      <c r="K9" s="44"/>
      <c r="L9" s="44"/>
    </row>
    <row r="10" spans="1:12" ht="30" customHeight="1" x14ac:dyDescent="0.25">
      <c r="A10" s="15" t="s">
        <v>1291</v>
      </c>
      <c r="B10" s="44" t="s">
        <v>160</v>
      </c>
      <c r="C10" s="44"/>
      <c r="D10" s="44"/>
      <c r="E10" s="44"/>
      <c r="F10" s="44"/>
      <c r="G10" s="44"/>
      <c r="H10" s="44"/>
      <c r="I10" s="44"/>
      <c r="J10" s="44"/>
      <c r="K10" s="44"/>
      <c r="L10" s="44"/>
    </row>
    <row r="11" spans="1:12" x14ac:dyDescent="0.25">
      <c r="B11" s="44"/>
      <c r="C11" s="44"/>
      <c r="D11" s="44"/>
      <c r="E11" s="44"/>
      <c r="F11" s="44"/>
      <c r="G11" s="44"/>
      <c r="H11" s="44"/>
      <c r="I11" s="44"/>
      <c r="J11" s="44"/>
      <c r="K11" s="44"/>
      <c r="L11" s="44"/>
    </row>
    <row r="12" spans="1:12" ht="30" customHeight="1" x14ac:dyDescent="0.25">
      <c r="A12" s="15" t="s">
        <v>1292</v>
      </c>
      <c r="B12" s="44" t="s">
        <v>163</v>
      </c>
      <c r="C12" s="44"/>
      <c r="D12" s="44"/>
      <c r="E12" s="44"/>
      <c r="F12" s="44"/>
      <c r="G12" s="44"/>
      <c r="H12" s="44"/>
      <c r="I12" s="44"/>
      <c r="J12" s="44"/>
      <c r="K12" s="44"/>
      <c r="L12" s="44"/>
    </row>
    <row r="13" spans="1:12" x14ac:dyDescent="0.25">
      <c r="B13" s="44"/>
      <c r="C13" s="44"/>
      <c r="D13" s="44"/>
      <c r="E13" s="44"/>
      <c r="F13" s="44"/>
      <c r="G13" s="44"/>
      <c r="H13" s="44"/>
      <c r="I13" s="44"/>
      <c r="J13" s="44"/>
      <c r="K13" s="44"/>
      <c r="L13" s="44"/>
    </row>
    <row r="14" spans="1:12" ht="30" customHeight="1" x14ac:dyDescent="0.25">
      <c r="A14" s="15" t="s">
        <v>1293</v>
      </c>
      <c r="B14" s="44" t="s">
        <v>166</v>
      </c>
      <c r="C14" s="44"/>
      <c r="D14" s="44"/>
      <c r="E14" s="44"/>
      <c r="F14" s="44"/>
      <c r="G14" s="44"/>
      <c r="H14" s="44"/>
      <c r="I14" s="44"/>
      <c r="J14" s="44"/>
      <c r="K14" s="44"/>
      <c r="L14" s="44"/>
    </row>
    <row r="15" spans="1:12" x14ac:dyDescent="0.25">
      <c r="B15" s="44"/>
      <c r="C15" s="44"/>
      <c r="D15" s="44"/>
      <c r="E15" s="44"/>
      <c r="F15" s="44"/>
      <c r="G15" s="44"/>
      <c r="H15" s="44"/>
      <c r="I15" s="44"/>
      <c r="J15" s="44"/>
      <c r="K15" s="44"/>
      <c r="L15" s="44"/>
    </row>
    <row r="16" spans="1:12" ht="30" customHeight="1" x14ac:dyDescent="0.25">
      <c r="A16" s="15" t="s">
        <v>169</v>
      </c>
      <c r="B16" s="44" t="s">
        <v>170</v>
      </c>
      <c r="C16" s="44"/>
      <c r="D16" s="44"/>
      <c r="E16" s="44"/>
      <c r="F16" s="44"/>
      <c r="G16" s="44"/>
      <c r="H16" s="44"/>
      <c r="I16" s="44"/>
      <c r="J16" s="44"/>
      <c r="K16" s="44"/>
      <c r="L16" s="44"/>
    </row>
    <row r="17" spans="1:12" x14ac:dyDescent="0.25">
      <c r="B17" s="44"/>
      <c r="C17" s="44"/>
      <c r="D17" s="44"/>
      <c r="E17" s="44"/>
      <c r="F17" s="44"/>
      <c r="G17" s="44"/>
      <c r="H17" s="44"/>
      <c r="I17" s="44"/>
      <c r="J17" s="44"/>
      <c r="K17" s="44"/>
      <c r="L17" s="44"/>
    </row>
    <row r="18" spans="1:12" ht="30" customHeight="1" x14ac:dyDescent="0.25">
      <c r="A18" s="15" t="s">
        <v>173</v>
      </c>
      <c r="B18" s="44" t="s">
        <v>174</v>
      </c>
      <c r="C18" s="44"/>
      <c r="D18" s="44"/>
      <c r="E18" s="44"/>
      <c r="F18" s="44"/>
      <c r="G18" s="44"/>
      <c r="H18" s="44"/>
      <c r="I18" s="44"/>
      <c r="J18" s="44"/>
      <c r="K18" s="44"/>
      <c r="L18" s="44"/>
    </row>
    <row r="19" spans="1:12" x14ac:dyDescent="0.25">
      <c r="B19" s="44"/>
      <c r="C19" s="44"/>
      <c r="D19" s="44"/>
      <c r="E19" s="44"/>
      <c r="F19" s="44"/>
      <c r="G19" s="44"/>
      <c r="H19" s="44"/>
      <c r="I19" s="44"/>
      <c r="J19" s="44"/>
      <c r="K19" s="44"/>
      <c r="L19" s="44"/>
    </row>
    <row r="20" spans="1:12" ht="15" customHeight="1" x14ac:dyDescent="0.25">
      <c r="A20" s="15" t="s">
        <v>1294</v>
      </c>
      <c r="B20" s="44" t="s">
        <v>177</v>
      </c>
      <c r="C20" s="44"/>
      <c r="D20" s="44"/>
      <c r="E20" s="44"/>
      <c r="F20" s="44"/>
      <c r="G20" s="44"/>
      <c r="H20" s="44"/>
      <c r="I20" s="44"/>
      <c r="J20" s="44"/>
      <c r="K20" s="44"/>
      <c r="L20" s="44"/>
    </row>
    <row r="21" spans="1:12" ht="30" customHeight="1" x14ac:dyDescent="0.25">
      <c r="A21" s="15" t="s">
        <v>1295</v>
      </c>
      <c r="B21" s="44" t="s">
        <v>1296</v>
      </c>
      <c r="C21" s="44"/>
      <c r="D21" s="44"/>
      <c r="E21" s="44"/>
      <c r="F21" s="44"/>
      <c r="G21" s="44"/>
      <c r="H21" s="44"/>
      <c r="I21" s="44"/>
      <c r="J21" s="44"/>
      <c r="K21" s="44"/>
      <c r="L21" s="44"/>
    </row>
    <row r="22" spans="1:12" x14ac:dyDescent="0.25">
      <c r="B22" s="44"/>
      <c r="C22" s="44"/>
      <c r="D22" s="44"/>
      <c r="E22" s="44"/>
      <c r="F22" s="44"/>
      <c r="G22" s="44"/>
      <c r="H22" s="44"/>
      <c r="I22" s="44"/>
      <c r="J22" s="44"/>
      <c r="K22" s="44"/>
      <c r="L22" s="44"/>
    </row>
    <row r="23" spans="1:12" ht="15" customHeight="1" x14ac:dyDescent="0.25">
      <c r="A23" s="9" t="s">
        <v>1297</v>
      </c>
      <c r="B23" s="9"/>
      <c r="C23" s="9"/>
      <c r="D23" s="9"/>
      <c r="E23" s="9"/>
      <c r="F23" s="9"/>
      <c r="G23" s="9"/>
      <c r="H23" s="9"/>
      <c r="I23" s="9"/>
      <c r="J23" s="9"/>
      <c r="K23" s="9"/>
      <c r="L23" s="9"/>
    </row>
    <row r="24" spans="1:12" x14ac:dyDescent="0.25">
      <c r="A24" s="21" t="s">
        <v>1290</v>
      </c>
      <c r="B24" s="21" t="s">
        <v>1291</v>
      </c>
      <c r="C24" s="21" t="s">
        <v>1292</v>
      </c>
      <c r="D24" s="21" t="s">
        <v>1293</v>
      </c>
      <c r="E24" s="21" t="s">
        <v>169</v>
      </c>
      <c r="F24" s="21" t="s">
        <v>173</v>
      </c>
      <c r="G24" s="21" t="s">
        <v>1294</v>
      </c>
      <c r="H24" s="21" t="s">
        <v>1295</v>
      </c>
    </row>
    <row r="25" spans="1:12" ht="36" customHeight="1" x14ac:dyDescent="0.25">
      <c r="A25" s="16" t="s">
        <v>1298</v>
      </c>
      <c r="B25" s="25" t="s">
        <v>1299</v>
      </c>
      <c r="C25" s="25" t="s">
        <v>163</v>
      </c>
      <c r="D25" s="25" t="s">
        <v>166</v>
      </c>
      <c r="E25" s="25" t="s">
        <v>1300</v>
      </c>
      <c r="F25" s="25" t="s">
        <v>1301</v>
      </c>
      <c r="G25" s="16" t="s">
        <v>1302</v>
      </c>
      <c r="H25" s="25" t="s">
        <v>1296</v>
      </c>
    </row>
    <row r="26" spans="1:12" ht="36" customHeight="1" x14ac:dyDescent="0.25">
      <c r="A26" s="16" t="s">
        <v>1303</v>
      </c>
      <c r="B26" s="25" t="s">
        <v>160</v>
      </c>
      <c r="C26" s="25" t="s">
        <v>1304</v>
      </c>
      <c r="D26" s="25" t="s">
        <v>1305</v>
      </c>
      <c r="E26" s="25" t="s">
        <v>170</v>
      </c>
      <c r="F26" s="25" t="s">
        <v>1301</v>
      </c>
      <c r="G26" s="16" t="s">
        <v>1302</v>
      </c>
      <c r="H26" s="25" t="s">
        <v>1296</v>
      </c>
    </row>
    <row r="27" spans="1:12" ht="36" customHeight="1" x14ac:dyDescent="0.25">
      <c r="A27" s="16" t="s">
        <v>1306</v>
      </c>
      <c r="B27" s="25" t="s">
        <v>160</v>
      </c>
      <c r="C27" s="25" t="s">
        <v>1307</v>
      </c>
      <c r="D27" s="25" t="s">
        <v>166</v>
      </c>
      <c r="E27" s="25" t="s">
        <v>1308</v>
      </c>
      <c r="F27" s="25" t="s">
        <v>174</v>
      </c>
      <c r="G27" s="16" t="s">
        <v>177</v>
      </c>
      <c r="H27" s="25" t="s">
        <v>1296</v>
      </c>
    </row>
    <row r="28" spans="1:12" ht="36" customHeight="1" x14ac:dyDescent="0.25">
      <c r="A28" s="16" t="s">
        <v>156</v>
      </c>
      <c r="B28" s="25" t="s">
        <v>160</v>
      </c>
      <c r="C28" s="25" t="s">
        <v>163</v>
      </c>
      <c r="D28" s="25" t="s">
        <v>166</v>
      </c>
      <c r="E28" s="25" t="s">
        <v>170</v>
      </c>
      <c r="F28" s="25" t="s">
        <v>174</v>
      </c>
      <c r="G28" s="16" t="s">
        <v>177</v>
      </c>
      <c r="H28" s="25" t="s">
        <v>1296</v>
      </c>
    </row>
  </sheetData>
  <autoFilter ref="A24:H28" xr:uid="{00000000-0009-0000-0000-000013000000}"/>
  <mergeCells count="13">
    <mergeCell ref="B20:L20"/>
    <mergeCell ref="B21:L22"/>
    <mergeCell ref="A23:L23"/>
    <mergeCell ref="B10:L11"/>
    <mergeCell ref="B12:L13"/>
    <mergeCell ref="B14:L15"/>
    <mergeCell ref="B16:L17"/>
    <mergeCell ref="B18:L19"/>
    <mergeCell ref="A1:L1"/>
    <mergeCell ref="A2:L2"/>
    <mergeCell ref="A4:L6"/>
    <mergeCell ref="A8:L8"/>
    <mergeCell ref="B9:L9"/>
  </mergeCells>
  <conditionalFormatting sqref="G25:G28">
    <cfRule type="expression" dxfId="15" priority="2">
      <formula>$G25="Green"</formula>
    </cfRule>
    <cfRule type="expression" dxfId="14" priority="3">
      <formula>$G25="Amber"</formula>
    </cfRule>
    <cfRule type="expression" dxfId="13" priority="4">
      <formula>$G25="Red"</formula>
    </cfRule>
  </conditionalFormatting>
  <dataValidations count="1">
    <dataValidation type="list" allowBlank="1" sqref="G25:G28" xr:uid="{00000000-0002-0000-1300-000000000000}">
      <formula1>ConfidenceStatus</formula1>
      <formula2>0</formula2>
    </dataValidation>
  </dataValidations>
  <hyperlinks>
    <hyperlink ref="A3" r:id="rId1" location="'Start%20Here'!A1" xr:uid="{00000000-0004-0000-1300-000000000000}"/>
    <hyperlink ref="B3" r:id="rId2" location="'UAT%20Overview'!A1" xr:uid="{00000000-0004-0000-1300-000001000000}"/>
    <hyperlink ref="C3" r:id="rId3" location="'Executive%20Dashboard'!A1" xr:uid="{00000000-0004-0000-1300-000002000000}"/>
    <hyperlink ref="D3" r:id="rId4" location="'Operational%20Dashboard'!A1" xr:uid="{00000000-0004-0000-1300-000003000000}"/>
    <hyperlink ref="E3" r:id="rId5" location="'Readiness%20Checklist'!A1" xr:uid="{00000000-0004-0000-1300-000004000000}"/>
  </hyperlinks>
  <pageMargins left="0.75" right="0.75" top="1" bottom="1" header="0.511811023622047" footer="0.511811023622047"/>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8"/>
  <sheetViews>
    <sheetView zoomScaleNormal="100" workbookViewId="0">
      <pane ySplit="8" topLeftCell="A9" activePane="bottomLeft" state="frozen"/>
      <selection pane="bottomLeft"/>
    </sheetView>
  </sheetViews>
  <sheetFormatPr defaultColWidth="8.7109375" defaultRowHeight="15" customHeight="1" x14ac:dyDescent="0.25"/>
  <cols>
    <col min="1" max="1" width="12" customWidth="1"/>
    <col min="2" max="2" width="16" customWidth="1"/>
    <col min="3" max="3" width="34" customWidth="1"/>
    <col min="4" max="4" width="10" customWidth="1"/>
    <col min="5" max="5" width="18" customWidth="1"/>
    <col min="6" max="6" width="14" customWidth="1"/>
    <col min="7" max="8" width="18" customWidth="1"/>
    <col min="9" max="9" width="14" customWidth="1"/>
    <col min="10" max="10" width="24" customWidth="1"/>
    <col min="11" max="11" width="12" customWidth="1"/>
  </cols>
  <sheetData>
    <row r="1" spans="1:11" ht="25.5" customHeight="1" x14ac:dyDescent="0.25">
      <c r="A1" s="12" t="str">
        <f>'Branding &amp; Setup'!$B$9 &amp; " | Exit &amp; Sign-Off"</f>
        <v>Northbridge Citizens Services | Exit &amp; Sign-Off</v>
      </c>
      <c r="B1" s="12"/>
      <c r="C1" s="12"/>
      <c r="D1" s="12"/>
      <c r="E1" s="12"/>
      <c r="F1" s="12"/>
      <c r="G1" s="12"/>
      <c r="H1" s="12"/>
      <c r="I1" s="12"/>
      <c r="J1" s="12"/>
      <c r="K1" s="12"/>
    </row>
    <row r="2" spans="1:11"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row>
    <row r="3" spans="1:11" ht="18" customHeight="1" x14ac:dyDescent="0.25">
      <c r="A3" s="13" t="s">
        <v>0</v>
      </c>
      <c r="B3" s="13" t="s">
        <v>1</v>
      </c>
      <c r="C3" s="13" t="s">
        <v>2</v>
      </c>
      <c r="D3" s="13" t="s">
        <v>3</v>
      </c>
      <c r="E3" s="13" t="s">
        <v>4</v>
      </c>
    </row>
    <row r="4" spans="1:11" ht="18" customHeight="1" x14ac:dyDescent="0.25">
      <c r="A4" s="10" t="s">
        <v>1309</v>
      </c>
      <c r="B4" s="10"/>
      <c r="C4" s="10"/>
      <c r="D4" s="10"/>
      <c r="E4" s="10"/>
      <c r="F4" s="10"/>
      <c r="G4" s="10"/>
      <c r="H4" s="10"/>
      <c r="I4" s="10"/>
      <c r="J4" s="10"/>
      <c r="K4" s="10"/>
    </row>
    <row r="5" spans="1:11" ht="18" customHeight="1" x14ac:dyDescent="0.25">
      <c r="A5" s="10"/>
      <c r="B5" s="10"/>
      <c r="C5" s="10"/>
      <c r="D5" s="10"/>
      <c r="E5" s="10"/>
      <c r="F5" s="10"/>
      <c r="G5" s="10"/>
      <c r="H5" s="10"/>
      <c r="I5" s="10"/>
      <c r="J5" s="10"/>
      <c r="K5" s="10"/>
    </row>
    <row r="6" spans="1:11" ht="18" customHeight="1" x14ac:dyDescent="0.25">
      <c r="A6" s="10"/>
      <c r="B6" s="10"/>
      <c r="C6" s="10"/>
      <c r="D6" s="10"/>
      <c r="E6" s="10"/>
      <c r="F6" s="10"/>
      <c r="G6" s="10"/>
      <c r="H6" s="10"/>
      <c r="I6" s="10"/>
      <c r="J6" s="10"/>
      <c r="K6" s="10"/>
    </row>
    <row r="8" spans="1:11" ht="25.5" x14ac:dyDescent="0.25">
      <c r="A8" s="21" t="s">
        <v>1310</v>
      </c>
      <c r="B8" s="21" t="s">
        <v>494</v>
      </c>
      <c r="C8" s="21" t="s">
        <v>564</v>
      </c>
      <c r="D8" s="21" t="s">
        <v>565</v>
      </c>
      <c r="E8" s="21" t="s">
        <v>226</v>
      </c>
      <c r="F8" s="21" t="s">
        <v>151</v>
      </c>
      <c r="G8" s="21" t="s">
        <v>1311</v>
      </c>
      <c r="H8" s="21" t="s">
        <v>1312</v>
      </c>
      <c r="I8" s="21" t="s">
        <v>1313</v>
      </c>
      <c r="J8" s="21" t="s">
        <v>154</v>
      </c>
      <c r="K8" s="21" t="s">
        <v>568</v>
      </c>
    </row>
    <row r="9" spans="1:11" ht="25.5" x14ac:dyDescent="0.25">
      <c r="A9" s="16" t="s">
        <v>1314</v>
      </c>
      <c r="B9" s="16" t="s">
        <v>1315</v>
      </c>
      <c r="C9" s="25" t="s">
        <v>1316</v>
      </c>
      <c r="D9" s="16" t="s">
        <v>438</v>
      </c>
      <c r="E9" s="16" t="s">
        <v>252</v>
      </c>
      <c r="F9" s="16" t="s">
        <v>232</v>
      </c>
      <c r="G9" s="16" t="s">
        <v>1317</v>
      </c>
      <c r="H9" s="16" t="s">
        <v>81</v>
      </c>
      <c r="I9" s="17">
        <v>46091</v>
      </c>
      <c r="J9" s="16"/>
      <c r="K9" s="26">
        <f t="shared" ref="K9:K18" si="0">IF(F9="Complete",1,0)</f>
        <v>1</v>
      </c>
    </row>
    <row r="10" spans="1:11" ht="25.5" x14ac:dyDescent="0.25">
      <c r="A10" s="16" t="s">
        <v>1318</v>
      </c>
      <c r="B10" s="16" t="s">
        <v>1263</v>
      </c>
      <c r="C10" s="16" t="s">
        <v>1319</v>
      </c>
      <c r="D10" s="16" t="s">
        <v>438</v>
      </c>
      <c r="E10" s="16" t="s">
        <v>241</v>
      </c>
      <c r="F10" s="16" t="s">
        <v>263</v>
      </c>
      <c r="G10" s="16" t="s">
        <v>1320</v>
      </c>
      <c r="H10" s="16"/>
      <c r="I10" s="16"/>
      <c r="J10" s="16" t="s">
        <v>1321</v>
      </c>
      <c r="K10" s="26">
        <f t="shared" si="0"/>
        <v>0</v>
      </c>
    </row>
    <row r="11" spans="1:11" ht="25.5" x14ac:dyDescent="0.25">
      <c r="A11" s="16" t="s">
        <v>1322</v>
      </c>
      <c r="B11" s="16" t="s">
        <v>1263</v>
      </c>
      <c r="C11" s="25" t="s">
        <v>1323</v>
      </c>
      <c r="D11" s="16" t="s">
        <v>438</v>
      </c>
      <c r="E11" s="16" t="s">
        <v>231</v>
      </c>
      <c r="F11" s="16" t="s">
        <v>263</v>
      </c>
      <c r="G11" s="16"/>
      <c r="H11" s="16"/>
      <c r="I11" s="16"/>
      <c r="J11" s="25" t="s">
        <v>1324</v>
      </c>
      <c r="K11" s="26">
        <f t="shared" si="0"/>
        <v>0</v>
      </c>
    </row>
    <row r="12" spans="1:11" ht="25.5" x14ac:dyDescent="0.25">
      <c r="A12" s="16" t="s">
        <v>1325</v>
      </c>
      <c r="B12" s="16" t="s">
        <v>165</v>
      </c>
      <c r="C12" s="16" t="s">
        <v>1326</v>
      </c>
      <c r="D12" s="16" t="s">
        <v>438</v>
      </c>
      <c r="E12" s="16" t="s">
        <v>243</v>
      </c>
      <c r="F12" s="16" t="s">
        <v>232</v>
      </c>
      <c r="G12" s="16" t="s">
        <v>1327</v>
      </c>
      <c r="H12" s="16" t="s">
        <v>79</v>
      </c>
      <c r="I12" s="17">
        <v>46090</v>
      </c>
      <c r="J12" s="16"/>
      <c r="K12" s="26">
        <f t="shared" si="0"/>
        <v>1</v>
      </c>
    </row>
    <row r="13" spans="1:11" ht="25.5" x14ac:dyDescent="0.25">
      <c r="A13" s="16" t="s">
        <v>1328</v>
      </c>
      <c r="B13" s="16" t="s">
        <v>1329</v>
      </c>
      <c r="C13" s="25" t="s">
        <v>1330</v>
      </c>
      <c r="D13" s="16" t="s">
        <v>438</v>
      </c>
      <c r="E13" s="16" t="s">
        <v>81</v>
      </c>
      <c r="F13" s="16" t="s">
        <v>232</v>
      </c>
      <c r="G13" s="16" t="s">
        <v>1331</v>
      </c>
      <c r="H13" s="16" t="s">
        <v>299</v>
      </c>
      <c r="I13" s="17">
        <v>46090</v>
      </c>
      <c r="J13" s="16"/>
      <c r="K13" s="26">
        <f t="shared" si="0"/>
        <v>1</v>
      </c>
    </row>
    <row r="14" spans="1:11" ht="25.5" x14ac:dyDescent="0.25">
      <c r="A14" s="16" t="s">
        <v>1332</v>
      </c>
      <c r="B14" s="16" t="s">
        <v>1329</v>
      </c>
      <c r="C14" s="16" t="s">
        <v>1333</v>
      </c>
      <c r="D14" s="16" t="s">
        <v>438</v>
      </c>
      <c r="E14" s="16" t="s">
        <v>243</v>
      </c>
      <c r="F14" s="16" t="s">
        <v>266</v>
      </c>
      <c r="G14" s="16" t="s">
        <v>1327</v>
      </c>
      <c r="H14" s="16"/>
      <c r="I14" s="16"/>
      <c r="J14" s="16"/>
      <c r="K14" s="26">
        <f t="shared" si="0"/>
        <v>0</v>
      </c>
    </row>
    <row r="15" spans="1:11" x14ac:dyDescent="0.25">
      <c r="A15" s="16" t="s">
        <v>1334</v>
      </c>
      <c r="B15" s="16" t="s">
        <v>682</v>
      </c>
      <c r="C15" s="16" t="s">
        <v>1335</v>
      </c>
      <c r="D15" s="16" t="s">
        <v>438</v>
      </c>
      <c r="E15" s="16" t="s">
        <v>299</v>
      </c>
      <c r="F15" s="16" t="s">
        <v>266</v>
      </c>
      <c r="G15" s="16" t="s">
        <v>1320</v>
      </c>
      <c r="H15" s="16"/>
      <c r="I15" s="16"/>
      <c r="J15" s="16"/>
      <c r="K15" s="26">
        <f t="shared" si="0"/>
        <v>0</v>
      </c>
    </row>
    <row r="16" spans="1:11" ht="25.5" x14ac:dyDescent="0.25">
      <c r="A16" s="16" t="s">
        <v>1336</v>
      </c>
      <c r="B16" s="16" t="s">
        <v>682</v>
      </c>
      <c r="C16" s="16" t="s">
        <v>1337</v>
      </c>
      <c r="D16" s="16" t="s">
        <v>437</v>
      </c>
      <c r="E16" s="16" t="s">
        <v>252</v>
      </c>
      <c r="F16" s="16" t="s">
        <v>232</v>
      </c>
      <c r="G16" s="16" t="s">
        <v>1320</v>
      </c>
      <c r="H16" s="16" t="s">
        <v>81</v>
      </c>
      <c r="I16" s="17">
        <v>46091</v>
      </c>
      <c r="J16" s="16"/>
      <c r="K16" s="26">
        <f t="shared" si="0"/>
        <v>1</v>
      </c>
    </row>
    <row r="17" spans="1:11" x14ac:dyDescent="0.25">
      <c r="A17" s="16" t="s">
        <v>1338</v>
      </c>
      <c r="B17" s="16" t="s">
        <v>1216</v>
      </c>
      <c r="C17" s="16" t="s">
        <v>1339</v>
      </c>
      <c r="D17" s="16" t="s">
        <v>437</v>
      </c>
      <c r="E17" s="16" t="s">
        <v>252</v>
      </c>
      <c r="F17" s="16" t="s">
        <v>266</v>
      </c>
      <c r="G17" s="16" t="s">
        <v>1340</v>
      </c>
      <c r="H17" s="16"/>
      <c r="I17" s="16"/>
      <c r="J17" s="16"/>
      <c r="K17" s="26">
        <f t="shared" si="0"/>
        <v>0</v>
      </c>
    </row>
    <row r="18" spans="1:11" ht="25.5" x14ac:dyDescent="0.25">
      <c r="A18" s="16" t="s">
        <v>1341</v>
      </c>
      <c r="B18" s="16" t="s">
        <v>1216</v>
      </c>
      <c r="C18" s="25" t="s">
        <v>1342</v>
      </c>
      <c r="D18" s="16" t="s">
        <v>438</v>
      </c>
      <c r="E18" s="16" t="s">
        <v>269</v>
      </c>
      <c r="F18" s="16" t="s">
        <v>263</v>
      </c>
      <c r="G18" s="16" t="s">
        <v>1327</v>
      </c>
      <c r="H18" s="16"/>
      <c r="I18" s="16"/>
      <c r="J18" s="16"/>
      <c r="K18" s="26">
        <f t="shared" si="0"/>
        <v>0</v>
      </c>
    </row>
  </sheetData>
  <autoFilter ref="A8:K18" xr:uid="{00000000-0009-0000-0000-000014000000}"/>
  <mergeCells count="3">
    <mergeCell ref="A1:K1"/>
    <mergeCell ref="A2:K2"/>
    <mergeCell ref="A4:K6"/>
  </mergeCells>
  <conditionalFormatting sqref="D9:D18">
    <cfRule type="expression" dxfId="12" priority="5">
      <formula>$D9="Yes"</formula>
    </cfRule>
    <cfRule type="expression" dxfId="11" priority="6">
      <formula>$D9="No"</formula>
    </cfRule>
  </conditionalFormatting>
  <conditionalFormatting sqref="F9:F18">
    <cfRule type="expression" dxfId="10" priority="2">
      <formula>$F9="Complete"</formula>
    </cfRule>
    <cfRule type="expression" dxfId="9" priority="3">
      <formula>$F9="In Progress"</formula>
    </cfRule>
    <cfRule type="expression" dxfId="8" priority="4">
      <formula>$F9="Not Started"</formula>
    </cfRule>
  </conditionalFormatting>
  <dataValidations count="3">
    <dataValidation type="list" allowBlank="1" sqref="E9:E18 H9:H18" xr:uid="{00000000-0002-0000-1400-000000000000}">
      <formula1>Owners</formula1>
      <formula2>0</formula2>
    </dataValidation>
    <dataValidation type="list" allowBlank="1" sqref="D9:D18" xr:uid="{00000000-0002-0000-1400-000001000000}">
      <formula1>YesNo</formula1>
      <formula2>0</formula2>
    </dataValidation>
    <dataValidation type="list" allowBlank="1" sqref="F9:F18" xr:uid="{00000000-0002-0000-1400-000002000000}">
      <formula1>SimpleProgress</formula1>
      <formula2>0</formula2>
    </dataValidation>
  </dataValidations>
  <hyperlinks>
    <hyperlink ref="A3" r:id="rId1" location="'Start%20Here'!A1" xr:uid="{00000000-0004-0000-1400-000000000000}"/>
    <hyperlink ref="B3" r:id="rId2" location="'UAT%20Overview'!A1" xr:uid="{00000000-0004-0000-1400-000001000000}"/>
    <hyperlink ref="C3" r:id="rId3" location="'Executive%20Dashboard'!A1" xr:uid="{00000000-0004-0000-1400-000002000000}"/>
    <hyperlink ref="D3" r:id="rId4" location="'Operational%20Dashboard'!A1" xr:uid="{00000000-0004-0000-1400-000003000000}"/>
    <hyperlink ref="E3" r:id="rId5" location="'Readiness%20Checklist'!A1" xr:uid="{00000000-0004-0000-1400-000004000000}"/>
  </hyperlinks>
  <pageMargins left="0.75" right="0.75" top="1" bottom="1" header="0.511811023622047" footer="0.511811023622047"/>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8"/>
  <sheetViews>
    <sheetView zoomScaleNormal="100" workbookViewId="0">
      <pane ySplit="8" topLeftCell="A9" activePane="bottomLeft" state="frozen"/>
      <selection pane="bottomLeft"/>
    </sheetView>
  </sheetViews>
  <sheetFormatPr defaultColWidth="8.7109375" defaultRowHeight="15" customHeight="1" x14ac:dyDescent="0.25"/>
  <cols>
    <col min="1" max="1" width="12" customWidth="1"/>
    <col min="2" max="2" width="14" customWidth="1"/>
    <col min="3" max="4" width="28" customWidth="1"/>
    <col min="5" max="5" width="30" customWidth="1"/>
    <col min="6" max="6" width="18" customWidth="1"/>
    <col min="7" max="7" width="10" customWidth="1"/>
    <col min="8" max="8" width="14" customWidth="1"/>
    <col min="9" max="10" width="12" customWidth="1"/>
  </cols>
  <sheetData>
    <row r="1" spans="1:10" ht="25.5" customHeight="1" x14ac:dyDescent="0.25">
      <c r="A1" s="12" t="str">
        <f>'Branding &amp; Setup'!$B$9 &amp; " | Lessons Learned"</f>
        <v>Northbridge Citizens Services | Lessons Learned</v>
      </c>
      <c r="B1" s="12"/>
      <c r="C1" s="12"/>
      <c r="D1" s="12"/>
      <c r="E1" s="12"/>
      <c r="F1" s="12"/>
      <c r="G1" s="12"/>
      <c r="H1" s="12"/>
      <c r="I1" s="12"/>
      <c r="J1" s="12"/>
    </row>
    <row r="2" spans="1:10"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row>
    <row r="3" spans="1:10" ht="18" customHeight="1" x14ac:dyDescent="0.25">
      <c r="A3" s="13" t="s">
        <v>0</v>
      </c>
      <c r="B3" s="13" t="s">
        <v>1</v>
      </c>
      <c r="C3" s="13" t="s">
        <v>2</v>
      </c>
      <c r="D3" s="13" t="s">
        <v>3</v>
      </c>
      <c r="E3" s="13" t="s">
        <v>4</v>
      </c>
    </row>
    <row r="4" spans="1:10" ht="18" customHeight="1" x14ac:dyDescent="0.25">
      <c r="A4" s="10" t="s">
        <v>1343</v>
      </c>
      <c r="B4" s="10"/>
      <c r="C4" s="10"/>
      <c r="D4" s="10"/>
      <c r="E4" s="10"/>
      <c r="F4" s="10"/>
      <c r="G4" s="10"/>
      <c r="H4" s="10"/>
      <c r="I4" s="10"/>
      <c r="J4" s="10"/>
    </row>
    <row r="5" spans="1:10" ht="18" customHeight="1" x14ac:dyDescent="0.25">
      <c r="A5" s="10"/>
      <c r="B5" s="10"/>
      <c r="C5" s="10"/>
      <c r="D5" s="10"/>
      <c r="E5" s="10"/>
      <c r="F5" s="10"/>
      <c r="G5" s="10"/>
      <c r="H5" s="10"/>
      <c r="I5" s="10"/>
      <c r="J5" s="10"/>
    </row>
    <row r="6" spans="1:10" ht="18" customHeight="1" x14ac:dyDescent="0.25">
      <c r="A6" s="10"/>
      <c r="B6" s="10"/>
      <c r="C6" s="10"/>
      <c r="D6" s="10"/>
      <c r="E6" s="10"/>
      <c r="F6" s="10"/>
      <c r="G6" s="10"/>
      <c r="H6" s="10"/>
      <c r="I6" s="10"/>
      <c r="J6" s="10"/>
    </row>
    <row r="8" spans="1:10" ht="25.5" x14ac:dyDescent="0.25">
      <c r="A8" s="21" t="s">
        <v>493</v>
      </c>
      <c r="B8" s="21" t="s">
        <v>494</v>
      </c>
      <c r="C8" s="21" t="s">
        <v>1344</v>
      </c>
      <c r="D8" s="21" t="s">
        <v>1345</v>
      </c>
      <c r="E8" s="21" t="s">
        <v>1346</v>
      </c>
      <c r="F8" s="21" t="s">
        <v>226</v>
      </c>
      <c r="G8" s="21" t="s">
        <v>729</v>
      </c>
      <c r="H8" s="21" t="s">
        <v>1207</v>
      </c>
      <c r="I8" s="21" t="s">
        <v>151</v>
      </c>
      <c r="J8" s="21" t="s">
        <v>1347</v>
      </c>
    </row>
    <row r="9" spans="1:10" ht="38.25" x14ac:dyDescent="0.25">
      <c r="A9" s="16" t="s">
        <v>1348</v>
      </c>
      <c r="B9" s="16" t="s">
        <v>1216</v>
      </c>
      <c r="C9" s="25" t="s">
        <v>1349</v>
      </c>
      <c r="D9" s="25" t="s">
        <v>1350</v>
      </c>
      <c r="E9" s="25" t="s">
        <v>1351</v>
      </c>
      <c r="F9" s="16" t="s">
        <v>81</v>
      </c>
      <c r="G9" s="16" t="s">
        <v>522</v>
      </c>
      <c r="H9" s="17">
        <v>46122</v>
      </c>
      <c r="I9" s="16" t="s">
        <v>263</v>
      </c>
      <c r="J9" s="16" t="s">
        <v>437</v>
      </c>
    </row>
    <row r="10" spans="1:10" ht="38.25" x14ac:dyDescent="0.25">
      <c r="A10" s="16" t="s">
        <v>1352</v>
      </c>
      <c r="B10" s="16" t="s">
        <v>1216</v>
      </c>
      <c r="C10" s="25" t="s">
        <v>1349</v>
      </c>
      <c r="D10" s="25" t="s">
        <v>1353</v>
      </c>
      <c r="E10" s="25" t="s">
        <v>1354</v>
      </c>
      <c r="F10" s="16" t="s">
        <v>258</v>
      </c>
      <c r="G10" s="16" t="s">
        <v>504</v>
      </c>
      <c r="H10" s="17">
        <v>46110</v>
      </c>
      <c r="I10" s="16" t="s">
        <v>1099</v>
      </c>
      <c r="J10" s="16" t="s">
        <v>437</v>
      </c>
    </row>
    <row r="11" spans="1:10" ht="38.25" x14ac:dyDescent="0.25">
      <c r="A11" s="16" t="s">
        <v>1355</v>
      </c>
      <c r="B11" s="16" t="s">
        <v>1216</v>
      </c>
      <c r="C11" s="25" t="s">
        <v>1356</v>
      </c>
      <c r="D11" s="16" t="s">
        <v>1357</v>
      </c>
      <c r="E11" s="25" t="s">
        <v>1358</v>
      </c>
      <c r="F11" s="16" t="s">
        <v>231</v>
      </c>
      <c r="G11" s="16" t="s">
        <v>508</v>
      </c>
      <c r="H11" s="17">
        <v>46115</v>
      </c>
      <c r="I11" s="16" t="s">
        <v>1099</v>
      </c>
      <c r="J11" s="16" t="s">
        <v>437</v>
      </c>
    </row>
    <row r="12" spans="1:10" ht="25.5" x14ac:dyDescent="0.25">
      <c r="A12" s="16" t="s">
        <v>1359</v>
      </c>
      <c r="B12" s="16" t="s">
        <v>1315</v>
      </c>
      <c r="C12" s="25" t="s">
        <v>1360</v>
      </c>
      <c r="D12" s="25" t="s">
        <v>1361</v>
      </c>
      <c r="E12" s="25" t="s">
        <v>1362</v>
      </c>
      <c r="F12" s="16" t="s">
        <v>81</v>
      </c>
      <c r="G12" s="16" t="s">
        <v>504</v>
      </c>
      <c r="H12" s="17">
        <v>46115</v>
      </c>
      <c r="I12" s="16" t="s">
        <v>263</v>
      </c>
      <c r="J12" s="16" t="s">
        <v>438</v>
      </c>
    </row>
    <row r="13" spans="1:10" ht="25.5" x14ac:dyDescent="0.25">
      <c r="A13" s="16" t="s">
        <v>1363</v>
      </c>
      <c r="B13" s="16" t="s">
        <v>249</v>
      </c>
      <c r="C13" s="25" t="s">
        <v>1360</v>
      </c>
      <c r="D13" s="25" t="s">
        <v>1361</v>
      </c>
      <c r="E13" s="25" t="s">
        <v>1354</v>
      </c>
      <c r="F13" s="16" t="s">
        <v>243</v>
      </c>
      <c r="G13" s="16" t="s">
        <v>504</v>
      </c>
      <c r="H13" s="17">
        <v>46123</v>
      </c>
      <c r="I13" s="16" t="s">
        <v>232</v>
      </c>
      <c r="J13" s="16" t="s">
        <v>437</v>
      </c>
    </row>
    <row r="14" spans="1:10" ht="38.25" x14ac:dyDescent="0.25">
      <c r="A14" s="16" t="s">
        <v>1364</v>
      </c>
      <c r="B14" s="16" t="s">
        <v>1267</v>
      </c>
      <c r="C14" s="25" t="s">
        <v>1365</v>
      </c>
      <c r="D14" s="25" t="s">
        <v>1350</v>
      </c>
      <c r="E14" s="25" t="s">
        <v>1351</v>
      </c>
      <c r="F14" s="16" t="s">
        <v>299</v>
      </c>
      <c r="G14" s="16" t="s">
        <v>522</v>
      </c>
      <c r="H14" s="17">
        <v>46114</v>
      </c>
      <c r="I14" s="16" t="s">
        <v>263</v>
      </c>
      <c r="J14" s="16" t="s">
        <v>437</v>
      </c>
    </row>
    <row r="15" spans="1:10" ht="38.25" x14ac:dyDescent="0.25">
      <c r="A15" s="16" t="s">
        <v>1366</v>
      </c>
      <c r="B15" s="16" t="s">
        <v>1267</v>
      </c>
      <c r="C15" s="25" t="s">
        <v>1349</v>
      </c>
      <c r="D15" s="25" t="s">
        <v>1353</v>
      </c>
      <c r="E15" s="25" t="s">
        <v>1358</v>
      </c>
      <c r="F15" s="16" t="s">
        <v>243</v>
      </c>
      <c r="G15" s="16" t="s">
        <v>504</v>
      </c>
      <c r="H15" s="17">
        <v>46115</v>
      </c>
      <c r="I15" s="16" t="s">
        <v>232</v>
      </c>
      <c r="J15" s="16" t="s">
        <v>438</v>
      </c>
    </row>
    <row r="16" spans="1:10" ht="38.25" x14ac:dyDescent="0.25">
      <c r="A16" s="16" t="s">
        <v>1367</v>
      </c>
      <c r="B16" s="16" t="s">
        <v>249</v>
      </c>
      <c r="C16" s="25" t="s">
        <v>1365</v>
      </c>
      <c r="D16" s="25" t="s">
        <v>1353</v>
      </c>
      <c r="E16" s="25" t="s">
        <v>1362</v>
      </c>
      <c r="F16" s="16" t="s">
        <v>252</v>
      </c>
      <c r="G16" s="16" t="s">
        <v>504</v>
      </c>
      <c r="H16" s="17">
        <v>46112</v>
      </c>
      <c r="I16" s="16" t="s">
        <v>263</v>
      </c>
      <c r="J16" s="16" t="s">
        <v>438</v>
      </c>
    </row>
    <row r="17" spans="1:10" ht="25.5" x14ac:dyDescent="0.25">
      <c r="A17" s="16" t="s">
        <v>1368</v>
      </c>
      <c r="B17" s="16" t="s">
        <v>1263</v>
      </c>
      <c r="C17" s="25" t="s">
        <v>1356</v>
      </c>
      <c r="D17" s="16" t="s">
        <v>1357</v>
      </c>
      <c r="E17" s="25" t="s">
        <v>1362</v>
      </c>
      <c r="F17" s="16" t="s">
        <v>231</v>
      </c>
      <c r="G17" s="16" t="s">
        <v>508</v>
      </c>
      <c r="H17" s="17">
        <v>46106</v>
      </c>
      <c r="I17" s="16" t="s">
        <v>1099</v>
      </c>
      <c r="J17" s="16" t="s">
        <v>437</v>
      </c>
    </row>
    <row r="18" spans="1:10" ht="25.5" x14ac:dyDescent="0.25">
      <c r="A18" s="16" t="s">
        <v>1369</v>
      </c>
      <c r="B18" s="16" t="s">
        <v>1216</v>
      </c>
      <c r="C18" s="25" t="s">
        <v>1356</v>
      </c>
      <c r="D18" s="25" t="s">
        <v>1353</v>
      </c>
      <c r="E18" s="25" t="s">
        <v>1362</v>
      </c>
      <c r="F18" s="16" t="s">
        <v>456</v>
      </c>
      <c r="G18" s="16" t="s">
        <v>504</v>
      </c>
      <c r="H18" s="17">
        <v>46106</v>
      </c>
      <c r="I18" s="16" t="s">
        <v>232</v>
      </c>
      <c r="J18" s="16" t="s">
        <v>437</v>
      </c>
    </row>
  </sheetData>
  <autoFilter ref="A8:J18" xr:uid="{00000000-0009-0000-0000-000015000000}"/>
  <mergeCells count="3">
    <mergeCell ref="A1:J1"/>
    <mergeCell ref="A2:J2"/>
    <mergeCell ref="A4:J6"/>
  </mergeCells>
  <conditionalFormatting sqref="G9:G18">
    <cfRule type="expression" dxfId="7" priority="2">
      <formula>$G9="High"</formula>
    </cfRule>
    <cfRule type="expression" dxfId="6" priority="3">
      <formula>$G9="Medium"</formula>
    </cfRule>
    <cfRule type="expression" dxfId="5" priority="4">
      <formula>$G9="Low"</formula>
    </cfRule>
  </conditionalFormatting>
  <conditionalFormatting sqref="I9:I18">
    <cfRule type="expression" dxfId="4" priority="5">
      <formula>$I9="Open"</formula>
    </cfRule>
    <cfRule type="expression" dxfId="3" priority="6">
      <formula>$I9="In Progress"</formula>
    </cfRule>
    <cfRule type="expression" dxfId="2" priority="7">
      <formula>$I9="Complete"</formula>
    </cfRule>
  </conditionalFormatting>
  <conditionalFormatting sqref="J9:J18">
    <cfRule type="expression" dxfId="1" priority="8">
      <formula>$J9="Yes"</formula>
    </cfRule>
    <cfRule type="expression" dxfId="0" priority="9">
      <formula>$J9="No"</formula>
    </cfRule>
  </conditionalFormatting>
  <dataValidations count="4">
    <dataValidation type="list" allowBlank="1" sqref="F9:F18" xr:uid="{00000000-0002-0000-1500-000000000000}">
      <formula1>Owners</formula1>
      <formula2>0</formula2>
    </dataValidation>
    <dataValidation type="list" allowBlank="1" sqref="J9:J18" xr:uid="{00000000-0002-0000-1500-000001000000}">
      <formula1>YesNo</formula1>
      <formula2>0</formula2>
    </dataValidation>
    <dataValidation type="list" allowBlank="1" sqref="G9:G18" xr:uid="{00000000-0002-0000-1500-000002000000}">
      <formula1>ActionPriority</formula1>
      <formula2>0</formula2>
    </dataValidation>
    <dataValidation type="list" allowBlank="1" sqref="I9:I18" xr:uid="{00000000-0002-0000-1500-000003000000}">
      <formula1>DecisionStatus</formula1>
      <formula2>0</formula2>
    </dataValidation>
  </dataValidations>
  <hyperlinks>
    <hyperlink ref="A3" r:id="rId1" location="'Start%20Here'!A1" xr:uid="{00000000-0004-0000-1500-000000000000}"/>
    <hyperlink ref="B3" r:id="rId2" location="'UAT%20Overview'!A1" xr:uid="{00000000-0004-0000-1500-000001000000}"/>
    <hyperlink ref="C3" r:id="rId3" location="'Executive%20Dashboard'!A1" xr:uid="{00000000-0004-0000-1500-000002000000}"/>
    <hyperlink ref="D3" r:id="rId4" location="'Operational%20Dashboard'!A1" xr:uid="{00000000-0004-0000-1500-000003000000}"/>
    <hyperlink ref="E3" r:id="rId5" location="'Readiness%20Checklist'!A1" xr:uid="{00000000-0004-0000-1500-000004000000}"/>
  </hyperlinks>
  <pageMargins left="0.75" right="0.75" top="1" bottom="1" header="0.511811023622047" footer="0.511811023622047"/>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3"/>
  <sheetViews>
    <sheetView showGridLines="0" zoomScaleNormal="100" workbookViewId="0"/>
  </sheetViews>
  <sheetFormatPr defaultColWidth="8.7109375" defaultRowHeight="15" customHeight="1" x14ac:dyDescent="0.25"/>
  <cols>
    <col min="1" max="1" width="20" customWidth="1"/>
    <col min="2" max="12" width="18" customWidth="1"/>
  </cols>
  <sheetData>
    <row r="1" spans="1:12" ht="25.5" customHeight="1" x14ac:dyDescent="0.25">
      <c r="A1" s="12" t="s">
        <v>1370</v>
      </c>
      <c r="B1" s="12"/>
      <c r="C1" s="12"/>
      <c r="D1" s="12"/>
      <c r="E1" s="12"/>
      <c r="F1" s="12"/>
      <c r="G1" s="12"/>
      <c r="H1" s="12"/>
      <c r="I1" s="12"/>
      <c r="J1" s="12"/>
      <c r="K1" s="12"/>
      <c r="L1" s="12"/>
    </row>
    <row r="2" spans="1:12" ht="19.5" customHeight="1" x14ac:dyDescent="0.25">
      <c r="A2" s="11" t="s">
        <v>1371</v>
      </c>
      <c r="B2" s="11"/>
      <c r="C2" s="11"/>
      <c r="D2" s="11"/>
      <c r="E2" s="11"/>
      <c r="F2" s="11"/>
      <c r="G2" s="11"/>
      <c r="H2" s="11"/>
      <c r="I2" s="11"/>
      <c r="J2" s="11"/>
      <c r="K2" s="11"/>
      <c r="L2" s="11"/>
    </row>
    <row r="3" spans="1:12" ht="18" customHeight="1" x14ac:dyDescent="0.25">
      <c r="A3" s="13" t="s">
        <v>0</v>
      </c>
      <c r="B3" s="13" t="s">
        <v>1</v>
      </c>
      <c r="C3" s="13" t="s">
        <v>2</v>
      </c>
      <c r="D3" s="13" t="s">
        <v>3</v>
      </c>
      <c r="E3" s="13" t="s">
        <v>4</v>
      </c>
    </row>
    <row r="4" spans="1:12" ht="18" customHeight="1" x14ac:dyDescent="0.25">
      <c r="A4" s="10" t="s">
        <v>1372</v>
      </c>
      <c r="B4" s="10"/>
      <c r="C4" s="10"/>
      <c r="D4" s="10"/>
      <c r="E4" s="10"/>
      <c r="F4" s="10"/>
      <c r="G4" s="10"/>
      <c r="H4" s="10"/>
      <c r="I4" s="10"/>
      <c r="J4" s="10"/>
      <c r="K4" s="10"/>
      <c r="L4" s="10"/>
    </row>
    <row r="5" spans="1:12" ht="18" customHeight="1" x14ac:dyDescent="0.25">
      <c r="A5" s="10"/>
      <c r="B5" s="10"/>
      <c r="C5" s="10"/>
      <c r="D5" s="10"/>
      <c r="E5" s="10"/>
      <c r="F5" s="10"/>
      <c r="G5" s="10"/>
      <c r="H5" s="10"/>
      <c r="I5" s="10"/>
      <c r="J5" s="10"/>
      <c r="K5" s="10"/>
      <c r="L5" s="10"/>
    </row>
    <row r="6" spans="1:12" ht="18" customHeight="1" x14ac:dyDescent="0.25">
      <c r="A6" s="10"/>
      <c r="B6" s="10"/>
      <c r="C6" s="10"/>
      <c r="D6" s="10"/>
      <c r="E6" s="10"/>
      <c r="F6" s="10"/>
      <c r="G6" s="10"/>
      <c r="H6" s="10"/>
      <c r="I6" s="10"/>
      <c r="J6" s="10"/>
      <c r="K6" s="10"/>
      <c r="L6" s="10"/>
    </row>
    <row r="8" spans="1:12" ht="15" customHeight="1" x14ac:dyDescent="0.25">
      <c r="A8" s="9" t="s">
        <v>1373</v>
      </c>
      <c r="B8" s="9"/>
      <c r="C8" s="9"/>
      <c r="D8" s="9"/>
      <c r="E8" s="9"/>
      <c r="F8" s="9"/>
      <c r="G8" s="9"/>
      <c r="H8" s="9"/>
      <c r="I8" s="9"/>
      <c r="J8" s="9"/>
      <c r="K8" s="9"/>
      <c r="L8" s="9"/>
    </row>
    <row r="9" spans="1:12" ht="15" customHeight="1" x14ac:dyDescent="0.25">
      <c r="A9" s="8" t="s">
        <v>1374</v>
      </c>
      <c r="B9" s="8"/>
      <c r="C9" s="8"/>
      <c r="D9" s="8"/>
      <c r="E9" s="8"/>
      <c r="F9" s="8"/>
      <c r="G9" s="8"/>
      <c r="H9" s="8"/>
      <c r="I9" s="8"/>
      <c r="J9" s="8"/>
      <c r="K9" s="8"/>
      <c r="L9" s="8"/>
    </row>
    <row r="10" spans="1:12" ht="15" customHeight="1" x14ac:dyDescent="0.25">
      <c r="A10" s="8" t="s">
        <v>1375</v>
      </c>
      <c r="B10" s="8"/>
      <c r="C10" s="8"/>
      <c r="D10" s="8"/>
      <c r="E10" s="8"/>
      <c r="F10" s="8"/>
      <c r="G10" s="8"/>
      <c r="H10" s="8"/>
      <c r="I10" s="8"/>
      <c r="J10" s="8"/>
      <c r="K10" s="8"/>
      <c r="L10" s="8"/>
    </row>
    <row r="11" spans="1:12" ht="15" customHeight="1" x14ac:dyDescent="0.25">
      <c r="A11" s="8" t="s">
        <v>1376</v>
      </c>
      <c r="B11" s="8"/>
      <c r="C11" s="8"/>
      <c r="D11" s="8"/>
      <c r="E11" s="8"/>
      <c r="F11" s="8"/>
      <c r="G11" s="8"/>
      <c r="H11" s="8"/>
      <c r="I11" s="8"/>
      <c r="J11" s="8"/>
      <c r="K11" s="8"/>
      <c r="L11" s="8"/>
    </row>
    <row r="12" spans="1:12" ht="15" customHeight="1" x14ac:dyDescent="0.25">
      <c r="A12" s="8" t="s">
        <v>1377</v>
      </c>
      <c r="B12" s="8"/>
      <c r="C12" s="8"/>
      <c r="D12" s="8"/>
      <c r="E12" s="8"/>
      <c r="F12" s="8"/>
      <c r="G12" s="8"/>
      <c r="H12" s="8"/>
      <c r="I12" s="8"/>
      <c r="J12" s="8"/>
      <c r="K12" s="8"/>
      <c r="L12" s="8"/>
    </row>
    <row r="13" spans="1:12" ht="15" customHeight="1" x14ac:dyDescent="0.25">
      <c r="A13" s="8" t="s">
        <v>1378</v>
      </c>
      <c r="B13" s="8"/>
      <c r="C13" s="8"/>
      <c r="D13" s="8"/>
      <c r="E13" s="8"/>
      <c r="F13" s="8"/>
      <c r="G13" s="8"/>
      <c r="H13" s="8"/>
      <c r="I13" s="8"/>
      <c r="J13" s="8"/>
      <c r="K13" s="8"/>
      <c r="L13" s="8"/>
    </row>
  </sheetData>
  <mergeCells count="9">
    <mergeCell ref="A10:L10"/>
    <mergeCell ref="A11:L11"/>
    <mergeCell ref="A12:L12"/>
    <mergeCell ref="A13:L13"/>
    <mergeCell ref="A1:L1"/>
    <mergeCell ref="A2:L2"/>
    <mergeCell ref="A4:L6"/>
    <mergeCell ref="A8:L8"/>
    <mergeCell ref="A9:L9"/>
  </mergeCells>
  <hyperlinks>
    <hyperlink ref="A3" r:id="rId1" location="'Start%20Here'!A1" xr:uid="{00000000-0004-0000-1600-000000000000}"/>
    <hyperlink ref="B3" r:id="rId2" location="'UAT%20Overview'!A1" xr:uid="{00000000-0004-0000-1600-000001000000}"/>
    <hyperlink ref="C3" r:id="rId3" location="'Executive%20Dashboard'!A1" xr:uid="{00000000-0004-0000-1600-000002000000}"/>
    <hyperlink ref="D3" r:id="rId4" location="'Operational%20Dashboard'!A1" xr:uid="{00000000-0004-0000-1600-000003000000}"/>
    <hyperlink ref="E3" r:id="rId5" location="'Readiness%20Checklist'!A1" xr:uid="{00000000-0004-0000-1600-000004000000}"/>
  </hyperlinks>
  <pageMargins left="0.75" right="0.75" top="1" bottom="1" header="0.511811023622047" footer="0.511811023622047"/>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9"/>
  <sheetViews>
    <sheetView zoomScaleNormal="100" workbookViewId="0"/>
  </sheetViews>
  <sheetFormatPr defaultColWidth="8.7109375" defaultRowHeight="15" customHeight="1" x14ac:dyDescent="0.25"/>
  <sheetData>
    <row r="1" spans="1:30" x14ac:dyDescent="0.25">
      <c r="A1" t="s">
        <v>1379</v>
      </c>
      <c r="B1" t="s">
        <v>1380</v>
      </c>
      <c r="C1" t="s">
        <v>1381</v>
      </c>
      <c r="D1" t="s">
        <v>1382</v>
      </c>
      <c r="E1" t="s">
        <v>1383</v>
      </c>
      <c r="F1" t="s">
        <v>1384</v>
      </c>
      <c r="G1" t="s">
        <v>1385</v>
      </c>
      <c r="H1" t="s">
        <v>1386</v>
      </c>
      <c r="I1" t="s">
        <v>1387</v>
      </c>
      <c r="J1" t="s">
        <v>1388</v>
      </c>
      <c r="K1" t="s">
        <v>1389</v>
      </c>
      <c r="L1" t="s">
        <v>1390</v>
      </c>
      <c r="M1" t="s">
        <v>1391</v>
      </c>
      <c r="N1" t="s">
        <v>1392</v>
      </c>
      <c r="O1" t="s">
        <v>1393</v>
      </c>
      <c r="P1" t="s">
        <v>1394</v>
      </c>
      <c r="Q1" t="s">
        <v>1395</v>
      </c>
      <c r="R1" t="s">
        <v>1396</v>
      </c>
      <c r="S1" t="s">
        <v>1397</v>
      </c>
      <c r="T1" t="s">
        <v>1398</v>
      </c>
      <c r="U1" t="s">
        <v>1399</v>
      </c>
      <c r="V1" t="s">
        <v>1400</v>
      </c>
      <c r="W1" t="s">
        <v>1401</v>
      </c>
      <c r="X1" t="s">
        <v>1402</v>
      </c>
      <c r="Y1" t="s">
        <v>1403</v>
      </c>
      <c r="Z1" t="s">
        <v>1404</v>
      </c>
      <c r="AA1" t="s">
        <v>1405</v>
      </c>
      <c r="AB1" t="s">
        <v>1406</v>
      </c>
      <c r="AC1" t="s">
        <v>1407</v>
      </c>
      <c r="AD1" t="s">
        <v>1408</v>
      </c>
    </row>
    <row r="2" spans="1:30" x14ac:dyDescent="0.25">
      <c r="A2" t="s">
        <v>438</v>
      </c>
      <c r="B2" t="s">
        <v>284</v>
      </c>
      <c r="C2" t="s">
        <v>232</v>
      </c>
      <c r="D2" t="s">
        <v>195</v>
      </c>
      <c r="E2" t="s">
        <v>796</v>
      </c>
      <c r="F2" t="s">
        <v>1087</v>
      </c>
      <c r="G2" t="s">
        <v>1088</v>
      </c>
      <c r="H2" t="s">
        <v>1099</v>
      </c>
      <c r="I2" t="s">
        <v>1099</v>
      </c>
      <c r="J2" t="s">
        <v>1209</v>
      </c>
      <c r="K2" t="s">
        <v>1099</v>
      </c>
      <c r="L2" t="s">
        <v>1099</v>
      </c>
      <c r="M2" t="s">
        <v>1302</v>
      </c>
      <c r="N2" t="s">
        <v>232</v>
      </c>
      <c r="O2" t="s">
        <v>436</v>
      </c>
      <c r="P2" t="s">
        <v>283</v>
      </c>
      <c r="Q2" t="s">
        <v>80</v>
      </c>
      <c r="R2" t="s">
        <v>464</v>
      </c>
      <c r="S2" t="s">
        <v>81</v>
      </c>
      <c r="T2" t="s">
        <v>570</v>
      </c>
      <c r="U2" t="s">
        <v>168</v>
      </c>
      <c r="V2" t="s">
        <v>766</v>
      </c>
      <c r="W2" t="s">
        <v>522</v>
      </c>
      <c r="X2" t="s">
        <v>865</v>
      </c>
      <c r="Y2" t="s">
        <v>168</v>
      </c>
      <c r="Z2" t="s">
        <v>1081</v>
      </c>
      <c r="AA2" t="s">
        <v>1285</v>
      </c>
      <c r="AB2" t="s">
        <v>232</v>
      </c>
      <c r="AC2" t="s">
        <v>522</v>
      </c>
      <c r="AD2" t="s">
        <v>1082</v>
      </c>
    </row>
    <row r="3" spans="1:30" x14ac:dyDescent="0.25">
      <c r="A3" t="s">
        <v>437</v>
      </c>
      <c r="B3" t="s">
        <v>402</v>
      </c>
      <c r="C3" t="s">
        <v>263</v>
      </c>
      <c r="D3" t="s">
        <v>196</v>
      </c>
      <c r="E3" t="s">
        <v>743</v>
      </c>
      <c r="F3" t="s">
        <v>1078</v>
      </c>
      <c r="G3" t="s">
        <v>1079</v>
      </c>
      <c r="H3" t="s">
        <v>1080</v>
      </c>
      <c r="I3" t="s">
        <v>263</v>
      </c>
      <c r="J3" t="s">
        <v>1220</v>
      </c>
      <c r="K3" t="s">
        <v>1226</v>
      </c>
      <c r="L3" t="s">
        <v>263</v>
      </c>
      <c r="M3" t="s">
        <v>177</v>
      </c>
      <c r="N3" t="s">
        <v>263</v>
      </c>
      <c r="O3" t="s">
        <v>449</v>
      </c>
      <c r="P3" t="s">
        <v>291</v>
      </c>
      <c r="Q3" t="s">
        <v>126</v>
      </c>
      <c r="R3" t="s">
        <v>447</v>
      </c>
      <c r="S3" t="s">
        <v>269</v>
      </c>
      <c r="T3" t="s">
        <v>590</v>
      </c>
      <c r="U3" t="s">
        <v>517</v>
      </c>
      <c r="V3" t="s">
        <v>522</v>
      </c>
      <c r="W3" t="s">
        <v>508</v>
      </c>
      <c r="X3" t="s">
        <v>875</v>
      </c>
      <c r="Y3" t="s">
        <v>249</v>
      </c>
      <c r="Z3" t="s">
        <v>1090</v>
      </c>
      <c r="AA3" t="s">
        <v>1409</v>
      </c>
      <c r="AB3" t="s">
        <v>263</v>
      </c>
      <c r="AC3" t="s">
        <v>508</v>
      </c>
      <c r="AD3" t="s">
        <v>1091</v>
      </c>
    </row>
    <row r="4" spans="1:30" x14ac:dyDescent="0.25">
      <c r="B4" t="s">
        <v>411</v>
      </c>
      <c r="C4" t="s">
        <v>266</v>
      </c>
      <c r="D4" t="s">
        <v>197</v>
      </c>
      <c r="E4" t="s">
        <v>747</v>
      </c>
      <c r="F4" t="s">
        <v>1069</v>
      </c>
      <c r="G4" t="s">
        <v>1070</v>
      </c>
      <c r="H4" t="s">
        <v>1089</v>
      </c>
      <c r="I4" t="s">
        <v>1168</v>
      </c>
      <c r="K4" t="s">
        <v>1071</v>
      </c>
      <c r="L4" t="s">
        <v>232</v>
      </c>
      <c r="M4" t="s">
        <v>1410</v>
      </c>
      <c r="N4" t="s">
        <v>246</v>
      </c>
      <c r="O4" t="s">
        <v>458</v>
      </c>
      <c r="P4" t="s">
        <v>297</v>
      </c>
      <c r="Q4" t="s">
        <v>442</v>
      </c>
      <c r="R4" t="s">
        <v>434</v>
      </c>
      <c r="S4" t="s">
        <v>79</v>
      </c>
      <c r="T4" t="s">
        <v>607</v>
      </c>
      <c r="U4" t="s">
        <v>249</v>
      </c>
      <c r="V4" t="s">
        <v>508</v>
      </c>
      <c r="W4" t="s">
        <v>504</v>
      </c>
      <c r="X4" t="s">
        <v>103</v>
      </c>
      <c r="Y4" t="s">
        <v>517</v>
      </c>
      <c r="Z4" t="s">
        <v>1115</v>
      </c>
      <c r="AA4" t="s">
        <v>1270</v>
      </c>
      <c r="AB4" t="s">
        <v>266</v>
      </c>
      <c r="AC4" t="s">
        <v>504</v>
      </c>
      <c r="AD4" t="s">
        <v>249</v>
      </c>
    </row>
    <row r="5" spans="1:30" x14ac:dyDescent="0.25">
      <c r="C5" t="s">
        <v>197</v>
      </c>
      <c r="D5" t="s">
        <v>198</v>
      </c>
      <c r="F5" t="s">
        <v>1103</v>
      </c>
      <c r="G5" t="s">
        <v>1104</v>
      </c>
      <c r="H5" t="s">
        <v>1071</v>
      </c>
      <c r="I5" t="s">
        <v>1071</v>
      </c>
      <c r="N5" t="s">
        <v>266</v>
      </c>
      <c r="P5" t="s">
        <v>304</v>
      </c>
      <c r="Q5" t="s">
        <v>447</v>
      </c>
      <c r="R5" t="s">
        <v>443</v>
      </c>
      <c r="S5" t="s">
        <v>446</v>
      </c>
      <c r="T5" t="s">
        <v>622</v>
      </c>
      <c r="U5" t="s">
        <v>541</v>
      </c>
      <c r="V5" t="s">
        <v>504</v>
      </c>
      <c r="X5" t="s">
        <v>232</v>
      </c>
      <c r="Y5" t="s">
        <v>1182</v>
      </c>
      <c r="Z5" t="s">
        <v>1072</v>
      </c>
      <c r="AA5" t="s">
        <v>1274</v>
      </c>
      <c r="AD5" t="s">
        <v>168</v>
      </c>
    </row>
    <row r="6" spans="1:30" x14ac:dyDescent="0.25">
      <c r="C6" t="s">
        <v>1411</v>
      </c>
      <c r="D6" t="s">
        <v>263</v>
      </c>
      <c r="H6" t="s">
        <v>1114</v>
      </c>
      <c r="P6" t="s">
        <v>310</v>
      </c>
      <c r="Q6" t="s">
        <v>443</v>
      </c>
      <c r="S6" t="s">
        <v>299</v>
      </c>
      <c r="T6" t="s">
        <v>637</v>
      </c>
      <c r="U6" t="s">
        <v>552</v>
      </c>
      <c r="Y6" t="s">
        <v>541</v>
      </c>
      <c r="Z6" t="s">
        <v>1100</v>
      </c>
      <c r="AA6" t="s">
        <v>1262</v>
      </c>
      <c r="AD6" t="s">
        <v>541</v>
      </c>
    </row>
    <row r="7" spans="1:30" x14ac:dyDescent="0.25">
      <c r="Q7" t="s">
        <v>453</v>
      </c>
      <c r="S7" t="s">
        <v>343</v>
      </c>
      <c r="T7" t="s">
        <v>652</v>
      </c>
      <c r="Y7" t="s">
        <v>1195</v>
      </c>
      <c r="Z7" t="s">
        <v>1095</v>
      </c>
      <c r="AD7" t="s">
        <v>1073</v>
      </c>
    </row>
    <row r="8" spans="1:30" x14ac:dyDescent="0.25">
      <c r="Q8" t="s">
        <v>463</v>
      </c>
      <c r="S8" t="s">
        <v>456</v>
      </c>
      <c r="T8" t="s">
        <v>667</v>
      </c>
      <c r="Y8" t="s">
        <v>1165</v>
      </c>
      <c r="AD8" t="s">
        <v>1123</v>
      </c>
    </row>
    <row r="9" spans="1:30" x14ac:dyDescent="0.25">
      <c r="Q9" t="s">
        <v>468</v>
      </c>
      <c r="S9" t="s">
        <v>460</v>
      </c>
      <c r="T9" t="s">
        <v>682</v>
      </c>
      <c r="Y9" t="s">
        <v>1177</v>
      </c>
      <c r="AD9" t="s">
        <v>1096</v>
      </c>
    </row>
    <row r="10" spans="1:30" x14ac:dyDescent="0.25">
      <c r="Q10" t="s">
        <v>471</v>
      </c>
      <c r="S10" t="s">
        <v>258</v>
      </c>
      <c r="T10" t="s">
        <v>697</v>
      </c>
    </row>
    <row r="11" spans="1:30" x14ac:dyDescent="0.25">
      <c r="S11" t="s">
        <v>241</v>
      </c>
      <c r="T11" t="s">
        <v>712</v>
      </c>
    </row>
    <row r="12" spans="1:30" x14ac:dyDescent="0.25">
      <c r="S12" t="s">
        <v>252</v>
      </c>
    </row>
    <row r="13" spans="1:30" x14ac:dyDescent="0.25">
      <c r="S13" t="s">
        <v>243</v>
      </c>
    </row>
    <row r="14" spans="1:30" x14ac:dyDescent="0.25">
      <c r="S14" t="s">
        <v>476</v>
      </c>
    </row>
    <row r="15" spans="1:30" x14ac:dyDescent="0.25">
      <c r="S15" t="s">
        <v>231</v>
      </c>
    </row>
    <row r="16" spans="1:30" x14ac:dyDescent="0.25">
      <c r="S16" t="s">
        <v>481</v>
      </c>
    </row>
    <row r="17" spans="19:19" x14ac:dyDescent="0.25">
      <c r="S17" t="s">
        <v>484</v>
      </c>
    </row>
    <row r="18" spans="19:19" x14ac:dyDescent="0.25">
      <c r="S18" t="s">
        <v>487</v>
      </c>
    </row>
    <row r="19" spans="19:19" x14ac:dyDescent="0.25">
      <c r="S19" t="s">
        <v>490</v>
      </c>
    </row>
  </sheetData>
  <pageMargins left="0.75" right="0.75" top="1" bottom="1" header="0.511811023622047" footer="0.511811023622047"/>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S24"/>
  <sheetViews>
    <sheetView zoomScaleNormal="100" workbookViewId="0"/>
  </sheetViews>
  <sheetFormatPr defaultColWidth="8.7109375" defaultRowHeight="15" customHeight="1" x14ac:dyDescent="0.25"/>
  <sheetData>
    <row r="1" spans="1:45" x14ac:dyDescent="0.25">
      <c r="A1" t="s">
        <v>1412</v>
      </c>
      <c r="B1">
        <f>IFERROR(COUNTIFS('Readiness Checklist'!$E$9:$E$200,"Yes",'Readiness Checklist'!$H$9:$H$200,"Complete")/COUNTIF('Readiness Checklist'!$E$9:$E$200,"Yes"),0)</f>
        <v>0.59649122807017541</v>
      </c>
      <c r="D1" t="s">
        <v>494</v>
      </c>
      <c r="E1" t="s">
        <v>1413</v>
      </c>
      <c r="F1" t="s">
        <v>1414</v>
      </c>
      <c r="H1" t="s">
        <v>1055</v>
      </c>
      <c r="I1" t="s">
        <v>1415</v>
      </c>
      <c r="J1" t="s">
        <v>205</v>
      </c>
      <c r="L1" t="s">
        <v>151</v>
      </c>
      <c r="M1" t="s">
        <v>1416</v>
      </c>
      <c r="O1" t="s">
        <v>856</v>
      </c>
      <c r="P1" t="s">
        <v>1417</v>
      </c>
      <c r="Q1" t="s">
        <v>195</v>
      </c>
      <c r="R1" t="s">
        <v>196</v>
      </c>
      <c r="S1" t="s">
        <v>197</v>
      </c>
      <c r="U1" t="s">
        <v>857</v>
      </c>
      <c r="V1" t="s">
        <v>1418</v>
      </c>
      <c r="X1" t="s">
        <v>1065</v>
      </c>
      <c r="Y1" t="s">
        <v>1416</v>
      </c>
      <c r="AA1" t="s">
        <v>494</v>
      </c>
      <c r="AB1" t="s">
        <v>1413</v>
      </c>
      <c r="AC1" t="s">
        <v>165</v>
      </c>
      <c r="AE1" t="s">
        <v>1419</v>
      </c>
      <c r="AF1" t="s">
        <v>1416</v>
      </c>
      <c r="AH1" t="s">
        <v>275</v>
      </c>
      <c r="AI1" t="s">
        <v>1418</v>
      </c>
      <c r="AJ1" t="s">
        <v>197</v>
      </c>
      <c r="AL1" t="s">
        <v>1205</v>
      </c>
      <c r="AM1" t="s">
        <v>1416</v>
      </c>
      <c r="AO1" t="s">
        <v>1063</v>
      </c>
      <c r="AP1" t="s">
        <v>1416</v>
      </c>
    </row>
    <row r="2" spans="1:45" x14ac:dyDescent="0.25">
      <c r="A2" t="s">
        <v>1420</v>
      </c>
      <c r="B2">
        <f>IFERROR(COUNTIF('Scenario Register'!$M$9:$M$200,"&gt;0")/COUNTA('Scenario Register'!$A$9:$A$200),0)</f>
        <v>0.8</v>
      </c>
      <c r="D2" t="s">
        <v>570</v>
      </c>
      <c r="E2">
        <f>IFERROR(COUNTIFS('Readiness Checklist'!$B$9:$B$200,D2,'Readiness Checklist'!$H$9:$H$200,"Complete")/COUNTIF('Readiness Checklist'!$B$9:$B$200,D2),0)</f>
        <v>0.8571428571428571</v>
      </c>
      <c r="F2">
        <f>COUNTIFS('Readiness Checklist'!$B$9:$B$200,D2,'Readiness Checklist'!$E$9:$E$200,"Yes",'Readiness Checklist'!$H$9:$H$200,"Complete")</f>
        <v>6</v>
      </c>
      <c r="H2" t="s">
        <v>1087</v>
      </c>
      <c r="I2">
        <f>COUNTIF('Defect Log'!$H$9:$H$200,H2)</f>
        <v>5</v>
      </c>
      <c r="J2">
        <f>COUNTIFS('Defect Log'!$H$9:$H$200,H2,'Defect Log'!$J$9:$J$200,"&lt;&gt;Closed",'Defect Log'!$J$9:$J$200,"&lt;&gt;Rejected")</f>
        <v>5</v>
      </c>
      <c r="L2" t="s">
        <v>1099</v>
      </c>
      <c r="M2">
        <f>COUNTIF('Defect Log'!$J$9:$J$200,L2)</f>
        <v>3</v>
      </c>
      <c r="O2" s="28">
        <v>46077</v>
      </c>
      <c r="P2">
        <f>COUNTIF('Execution Tracker'!$B$9:$B$400,O2)</f>
        <v>12</v>
      </c>
      <c r="Q2">
        <f>COUNTIFS('Execution Tracker'!$B$9:$B$400,O2,'Execution Tracker'!$G$9:$G$400,"Passed")</f>
        <v>10</v>
      </c>
      <c r="R2">
        <f>COUNTIFS('Execution Tracker'!$B$9:$B$400,O2,'Execution Tracker'!$G$9:$G$400,"Failed")</f>
        <v>0</v>
      </c>
      <c r="S2">
        <f>COUNTIFS('Execution Tracker'!$B$9:$B$400,O2,'Execution Tracker'!$G$9:$G$400,"Blocked")</f>
        <v>1</v>
      </c>
      <c r="U2" t="s">
        <v>81</v>
      </c>
      <c r="V2">
        <f>COUNTIF('Execution Tracker'!$D$9:$D$400,U2)</f>
        <v>5</v>
      </c>
      <c r="X2" t="s">
        <v>1421</v>
      </c>
      <c r="Y2">
        <f>COUNTIF('Defect Log'!$W$9:$W$200,X2)</f>
        <v>2</v>
      </c>
      <c r="AA2" t="s">
        <v>168</v>
      </c>
      <c r="AB2">
        <f>IFERROR(COUNTIFS('Env Access &amp; Data'!$B$9:$B$200,AA2,'Env Access &amp; Data'!$H$9:$H$200,"Complete")/COUNTIF('Env Access &amp; Data'!$B$9:$B$200,AA2),0)</f>
        <v>0.6</v>
      </c>
      <c r="AC2">
        <f>COUNTIFS('Env Access &amp; Data'!$B$9:$B$200,AA2,'Env Access &amp; Data'!$I$9:$I$200,"Yes")</f>
        <v>1</v>
      </c>
      <c r="AE2" t="s">
        <v>232</v>
      </c>
      <c r="AF2">
        <f>COUNTIF('UAT Plan'!$H$9:$H$100,AE2)</f>
        <v>10</v>
      </c>
      <c r="AH2" t="s">
        <v>283</v>
      </c>
      <c r="AI2">
        <f>COUNTIF('Execution Tracker'!$M$9:$M$400,AH2)</f>
        <v>35</v>
      </c>
      <c r="AJ2">
        <f>COUNTIFS('Execution Tracker'!$M$9:$M$400,AH2,'Execution Tracker'!$G$9:$G$400,"Blocked")</f>
        <v>5</v>
      </c>
      <c r="AL2" t="s">
        <v>1410</v>
      </c>
      <c r="AM2">
        <f>COUNTIF('Risk &amp; Assumptions'!$J$9:$J$100,AL2)</f>
        <v>4</v>
      </c>
      <c r="AO2" t="s">
        <v>1082</v>
      </c>
      <c r="AP2">
        <f>COUNTIF('Defect Log'!$S$9:$S$200,AO2)</f>
        <v>4</v>
      </c>
      <c r="AR2" t="s">
        <v>283</v>
      </c>
      <c r="AS2">
        <f>COUNTIFS('Readiness Checklist'!$F$9:$F$200,"&lt;&gt;",'Readiness Checklist'!$K$9:$K$200,"Yes")</f>
        <v>5</v>
      </c>
    </row>
    <row r="3" spans="1:45" x14ac:dyDescent="0.25">
      <c r="A3" t="s">
        <v>1422</v>
      </c>
      <c r="B3">
        <f>IFERROR(COUNTIF('Execution Tracker'!$G$9:$G$400,"Passed")/(COUNTIF('Execution Tracker'!$G$9:$G$400,"Passed")+COUNTIF('Execution Tracker'!$G$9:$G$400,"Failed")+COUNTIF('Execution Tracker'!$G$9:$G$400,"Blocked")+COUNTIF('Execution Tracker'!$G$9:$G$400,"Deferred")),0)</f>
        <v>0.6</v>
      </c>
      <c r="D3" t="s">
        <v>590</v>
      </c>
      <c r="E3">
        <f>IFERROR(COUNTIFS('Readiness Checklist'!$B$9:$B$200,D3,'Readiness Checklist'!$H$9:$H$200,"Complete")/COUNTIF('Readiness Checklist'!$B$9:$B$200,D3),0)</f>
        <v>0.5714285714285714</v>
      </c>
      <c r="F3">
        <f>COUNTIFS('Readiness Checklist'!$B$9:$B$200,D3,'Readiness Checklist'!$E$9:$E$200,"Yes",'Readiness Checklist'!$H$9:$H$200,"Complete")</f>
        <v>3</v>
      </c>
      <c r="H3" t="s">
        <v>1078</v>
      </c>
      <c r="I3">
        <f>COUNTIF('Defect Log'!$H$9:$H$200,H3)</f>
        <v>9</v>
      </c>
      <c r="J3">
        <f>COUNTIFS('Defect Log'!$H$9:$H$200,H3,'Defect Log'!$J$9:$J$200,"&lt;&gt;Closed",'Defect Log'!$J$9:$J$200,"&lt;&gt;Rejected")</f>
        <v>6</v>
      </c>
      <c r="L3" t="s">
        <v>1080</v>
      </c>
      <c r="M3">
        <f>COUNTIF('Defect Log'!$J$9:$J$200,L3)</f>
        <v>6</v>
      </c>
      <c r="O3" s="28">
        <v>46078</v>
      </c>
      <c r="P3">
        <f>COUNTIF('Execution Tracker'!$B$9:$B$400,O3)</f>
        <v>11</v>
      </c>
      <c r="Q3">
        <f>COUNTIFS('Execution Tracker'!$B$9:$B$400,O3,'Execution Tracker'!$G$9:$G$400,"Passed")</f>
        <v>7</v>
      </c>
      <c r="R3">
        <f>COUNTIFS('Execution Tracker'!$B$9:$B$400,O3,'Execution Tracker'!$G$9:$G$400,"Failed")</f>
        <v>2</v>
      </c>
      <c r="S3">
        <f>COUNTIFS('Execution Tracker'!$B$9:$B$400,O3,'Execution Tracker'!$G$9:$G$400,"Blocked")</f>
        <v>1</v>
      </c>
      <c r="U3" t="s">
        <v>269</v>
      </c>
      <c r="V3">
        <f>COUNTIF('Execution Tracker'!$D$9:$D$400,U3)</f>
        <v>5</v>
      </c>
      <c r="X3" t="s">
        <v>1423</v>
      </c>
      <c r="Y3">
        <f>COUNTIF('Defect Log'!$W$9:$W$200,X3)</f>
        <v>7</v>
      </c>
      <c r="AA3" t="s">
        <v>517</v>
      </c>
      <c r="AB3">
        <f>IFERROR(COUNTIFS('Env Access &amp; Data'!$B$9:$B$200,AA3,'Env Access &amp; Data'!$H$9:$H$200,"Complete")/COUNTIF('Env Access &amp; Data'!$B$9:$B$200,AA3),0)</f>
        <v>0.6</v>
      </c>
      <c r="AC3">
        <f>COUNTIFS('Env Access &amp; Data'!$B$9:$B$200,AA3,'Env Access &amp; Data'!$I$9:$I$200,"Yes")</f>
        <v>0</v>
      </c>
      <c r="AE3" t="s">
        <v>263</v>
      </c>
      <c r="AF3">
        <f>COUNTIF('UAT Plan'!$H$9:$H$100,AE3)</f>
        <v>1</v>
      </c>
      <c r="AH3" t="s">
        <v>291</v>
      </c>
      <c r="AI3">
        <f>COUNTIF('Execution Tracker'!$M$9:$M$400,AH3)</f>
        <v>22</v>
      </c>
      <c r="AJ3">
        <f>COUNTIFS('Execution Tracker'!$M$9:$M$400,AH3,'Execution Tracker'!$G$9:$G$400,"Blocked")</f>
        <v>0</v>
      </c>
      <c r="AL3" t="s">
        <v>177</v>
      </c>
      <c r="AM3">
        <f>COUNTIF('Risk &amp; Assumptions'!$J$9:$J$100,AL3)</f>
        <v>6</v>
      </c>
      <c r="AO3" t="s">
        <v>1091</v>
      </c>
      <c r="AP3">
        <f>COUNTIF('Defect Log'!$S$9:$S$200,AO3)</f>
        <v>4</v>
      </c>
      <c r="AR3" t="s">
        <v>291</v>
      </c>
      <c r="AS3">
        <f>COUNTIFS('Readiness Checklist'!$F$9:$F$200,"&lt;&gt;",'Readiness Checklist'!$K$9:$K$200,"Yes")</f>
        <v>5</v>
      </c>
    </row>
    <row r="4" spans="1:45" x14ac:dyDescent="0.25">
      <c r="A4" t="s">
        <v>1424</v>
      </c>
      <c r="B4">
        <f>IFERROR(COUNTIF('Execution Tracker'!$G$9:$G$400,"Blocked")/(COUNTIF('Execution Tracker'!$G$9:$G$400,"Passed")+COUNTIF('Execution Tracker'!$G$9:$G$400,"Failed")+COUNTIF('Execution Tracker'!$G$9:$G$400,"Blocked")+COUNTIF('Execution Tracker'!$G$9:$G$400,"Deferred")),0)</f>
        <v>0.11333333333333333</v>
      </c>
      <c r="D4" t="s">
        <v>607</v>
      </c>
      <c r="E4">
        <f>IFERROR(COUNTIFS('Readiness Checklist'!$B$9:$B$200,D4,'Readiness Checklist'!$H$9:$H$200,"Complete")/COUNTIF('Readiness Checklist'!$B$9:$B$200,D4),0)</f>
        <v>0.7142857142857143</v>
      </c>
      <c r="F4">
        <f>COUNTIFS('Readiness Checklist'!$B$9:$B$200,D4,'Readiness Checklist'!$E$9:$E$200,"Yes",'Readiness Checklist'!$H$9:$H$200,"Complete")</f>
        <v>4</v>
      </c>
      <c r="H4" t="s">
        <v>1069</v>
      </c>
      <c r="I4">
        <f>COUNTIF('Defect Log'!$H$9:$H$200,H4)</f>
        <v>12</v>
      </c>
      <c r="J4">
        <f>COUNTIFS('Defect Log'!$H$9:$H$200,H4,'Defect Log'!$J$9:$J$200,"&lt;&gt;Closed",'Defect Log'!$J$9:$J$200,"&lt;&gt;Rejected")</f>
        <v>6</v>
      </c>
      <c r="L4" t="s">
        <v>1089</v>
      </c>
      <c r="M4">
        <f>COUNTIF('Defect Log'!$J$9:$J$200,L4)</f>
        <v>11</v>
      </c>
      <c r="O4" s="28">
        <v>46079</v>
      </c>
      <c r="P4">
        <f>COUNTIF('Execution Tracker'!$B$9:$B$400,O4)</f>
        <v>6</v>
      </c>
      <c r="Q4">
        <f>COUNTIFS('Execution Tracker'!$B$9:$B$400,O4,'Execution Tracker'!$G$9:$G$400,"Passed")</f>
        <v>3</v>
      </c>
      <c r="R4">
        <f>COUNTIFS('Execution Tracker'!$B$9:$B$400,O4,'Execution Tracker'!$G$9:$G$400,"Failed")</f>
        <v>2</v>
      </c>
      <c r="S4">
        <f>COUNTIFS('Execution Tracker'!$B$9:$B$400,O4,'Execution Tracker'!$G$9:$G$400,"Blocked")</f>
        <v>1</v>
      </c>
      <c r="U4" t="s">
        <v>79</v>
      </c>
      <c r="V4">
        <f>COUNTIF('Execution Tracker'!$D$9:$D$400,U4)</f>
        <v>14</v>
      </c>
      <c r="X4" t="s">
        <v>1425</v>
      </c>
      <c r="Y4">
        <f>COUNTIF('Defect Log'!$W$9:$W$200,X4)</f>
        <v>14</v>
      </c>
      <c r="AA4" t="s">
        <v>249</v>
      </c>
      <c r="AB4">
        <f>IFERROR(COUNTIFS('Env Access &amp; Data'!$B$9:$B$200,AA4,'Env Access &amp; Data'!$H$9:$H$200,"Complete")/COUNTIF('Env Access &amp; Data'!$B$9:$B$200,AA4),0)</f>
        <v>0.4</v>
      </c>
      <c r="AC4">
        <f>COUNTIFS('Env Access &amp; Data'!$B$9:$B$200,AA4,'Env Access &amp; Data'!$I$9:$I$200,"Yes")</f>
        <v>1</v>
      </c>
      <c r="AE4" t="s">
        <v>246</v>
      </c>
      <c r="AF4">
        <f>COUNTIF('UAT Plan'!$H$9:$H$100,AE4)</f>
        <v>2</v>
      </c>
      <c r="AH4" t="s">
        <v>297</v>
      </c>
      <c r="AI4">
        <f>COUNTIF('Execution Tracker'!$M$9:$M$400,AH4)</f>
        <v>38</v>
      </c>
      <c r="AJ4">
        <f>COUNTIFS('Execution Tracker'!$M$9:$M$400,AH4,'Execution Tracker'!$G$9:$G$400,"Blocked")</f>
        <v>6</v>
      </c>
      <c r="AL4" t="s">
        <v>1302</v>
      </c>
      <c r="AM4">
        <f>COUNTIF('Risk &amp; Assumptions'!$J$9:$J$100,AL4)</f>
        <v>2</v>
      </c>
      <c r="AO4" t="s">
        <v>249</v>
      </c>
      <c r="AP4">
        <f>COUNTIF('Defect Log'!$S$9:$S$200,AO4)</f>
        <v>4</v>
      </c>
      <c r="AR4" t="s">
        <v>297</v>
      </c>
      <c r="AS4">
        <f>COUNTIFS('Readiness Checklist'!$F$9:$F$200,"&lt;&gt;",'Readiness Checklist'!$K$9:$K$200,"Yes")</f>
        <v>5</v>
      </c>
    </row>
    <row r="5" spans="1:45" x14ac:dyDescent="0.25">
      <c r="A5" t="s">
        <v>1426</v>
      </c>
      <c r="B5">
        <f>COUNTIFS('Defect Log'!$H$9:$H$200,"S1 - Critical",'Defect Log'!$J$9:$J$200,"&lt;&gt;Closed",'Defect Log'!$J$9:$J$200,"&lt;&gt;Rejected")</f>
        <v>5</v>
      </c>
      <c r="D5" t="s">
        <v>622</v>
      </c>
      <c r="E5">
        <f>IFERROR(COUNTIFS('Readiness Checklist'!$B$9:$B$200,D5,'Readiness Checklist'!$H$9:$H$200,"Complete")/COUNTIF('Readiness Checklist'!$B$9:$B$200,D5),0)</f>
        <v>0.42857142857142855</v>
      </c>
      <c r="F5">
        <f>COUNTIFS('Readiness Checklist'!$B$9:$B$200,D5,'Readiness Checklist'!$E$9:$E$200,"Yes",'Readiness Checklist'!$H$9:$H$200,"Complete")</f>
        <v>2</v>
      </c>
      <c r="H5" t="s">
        <v>1103</v>
      </c>
      <c r="I5">
        <f>COUNTIF('Defect Log'!$H$9:$H$200,H5)</f>
        <v>9</v>
      </c>
      <c r="J5">
        <f>COUNTIFS('Defect Log'!$H$9:$H$200,H5,'Defect Log'!$J$9:$J$200,"&lt;&gt;Closed",'Defect Log'!$J$9:$J$200,"&lt;&gt;Rejected")</f>
        <v>3</v>
      </c>
      <c r="L5" t="s">
        <v>1071</v>
      </c>
      <c r="M5">
        <f>COUNTIF('Defect Log'!$J$9:$J$200,L5)</f>
        <v>12</v>
      </c>
      <c r="O5" s="28">
        <v>46080</v>
      </c>
      <c r="P5">
        <f>COUNTIF('Execution Tracker'!$B$9:$B$400,O5)</f>
        <v>9</v>
      </c>
      <c r="Q5">
        <f>COUNTIFS('Execution Tracker'!$B$9:$B$400,O5,'Execution Tracker'!$G$9:$G$400,"Passed")</f>
        <v>6</v>
      </c>
      <c r="R5">
        <f>COUNTIFS('Execution Tracker'!$B$9:$B$400,O5,'Execution Tracker'!$G$9:$G$400,"Failed")</f>
        <v>2</v>
      </c>
      <c r="S5">
        <f>COUNTIFS('Execution Tracker'!$B$9:$B$400,O5,'Execution Tracker'!$G$9:$G$400,"Blocked")</f>
        <v>1</v>
      </c>
      <c r="U5" t="s">
        <v>446</v>
      </c>
      <c r="V5">
        <f>COUNTIF('Execution Tracker'!$D$9:$D$400,U5)</f>
        <v>6</v>
      </c>
      <c r="X5" t="s">
        <v>1427</v>
      </c>
      <c r="Y5">
        <f>COUNTIF('Defect Log'!$W$9:$W$200,X5)</f>
        <v>12</v>
      </c>
      <c r="AA5" t="s">
        <v>541</v>
      </c>
      <c r="AB5">
        <f>IFERROR(COUNTIFS('Env Access &amp; Data'!$B$9:$B$200,AA5,'Env Access &amp; Data'!$H$9:$H$200,"Complete")/COUNTIF('Env Access &amp; Data'!$B$9:$B$200,AA5),0)</f>
        <v>0.4</v>
      </c>
      <c r="AC5">
        <f>COUNTIFS('Env Access &amp; Data'!$B$9:$B$200,AA5,'Env Access &amp; Data'!$I$9:$I$200,"Yes")</f>
        <v>0</v>
      </c>
      <c r="AE5" t="s">
        <v>266</v>
      </c>
      <c r="AF5">
        <f>COUNTIF('UAT Plan'!$H$9:$H$100,AE5)</f>
        <v>2</v>
      </c>
      <c r="AH5" t="s">
        <v>304</v>
      </c>
      <c r="AI5">
        <f>COUNTIF('Execution Tracker'!$M$9:$M$400,AH5)</f>
        <v>29</v>
      </c>
      <c r="AJ5">
        <f>COUNTIFS('Execution Tracker'!$M$9:$M$400,AH5,'Execution Tracker'!$G$9:$G$400,"Blocked")</f>
        <v>1</v>
      </c>
      <c r="AO5" t="s">
        <v>168</v>
      </c>
      <c r="AP5">
        <f>COUNTIF('Defect Log'!$S$9:$S$200,AO5)</f>
        <v>3</v>
      </c>
      <c r="AR5" t="s">
        <v>304</v>
      </c>
      <c r="AS5">
        <f>COUNTIFS('Readiness Checklist'!$F$9:$F$200,"&lt;&gt;",'Readiness Checklist'!$K$9:$K$200,"Yes")</f>
        <v>5</v>
      </c>
    </row>
    <row r="6" spans="1:45" x14ac:dyDescent="0.25">
      <c r="A6" t="s">
        <v>1428</v>
      </c>
      <c r="B6">
        <f>COUNTIFS('Defect Log'!$H$9:$H$200,"S2 - High",'Defect Log'!$J$9:$J$200,"&lt;&gt;Closed",'Defect Log'!$J$9:$J$200,"&lt;&gt;Rejected")</f>
        <v>6</v>
      </c>
      <c r="D6" t="s">
        <v>637</v>
      </c>
      <c r="E6">
        <f>IFERROR(COUNTIFS('Readiness Checklist'!$B$9:$B$200,D6,'Readiness Checklist'!$H$9:$H$200,"Complete")/COUNTIF('Readiness Checklist'!$B$9:$B$200,D6),0)</f>
        <v>0.5714285714285714</v>
      </c>
      <c r="F6">
        <f>COUNTIFS('Readiness Checklist'!$B$9:$B$200,D6,'Readiness Checklist'!$E$9:$E$200,"Yes",'Readiness Checklist'!$H$9:$H$200,"Complete")</f>
        <v>3</v>
      </c>
      <c r="L6" t="s">
        <v>1114</v>
      </c>
      <c r="M6">
        <f>COUNTIF('Defect Log'!$J$9:$J$200,L6)</f>
        <v>3</v>
      </c>
      <c r="O6" s="28">
        <v>46081</v>
      </c>
      <c r="P6">
        <f>COUNTIF('Execution Tracker'!$B$9:$B$400,O6)</f>
        <v>7</v>
      </c>
      <c r="Q6">
        <f>COUNTIFS('Execution Tracker'!$B$9:$B$400,O6,'Execution Tracker'!$G$9:$G$400,"Passed")</f>
        <v>5</v>
      </c>
      <c r="R6">
        <f>COUNTIFS('Execution Tracker'!$B$9:$B$400,O6,'Execution Tracker'!$G$9:$G$400,"Failed")</f>
        <v>1</v>
      </c>
      <c r="S6">
        <f>COUNTIFS('Execution Tracker'!$B$9:$B$400,O6,'Execution Tracker'!$G$9:$G$400,"Blocked")</f>
        <v>1</v>
      </c>
      <c r="U6" t="s">
        <v>299</v>
      </c>
      <c r="V6">
        <f>COUNTIF('Execution Tracker'!$D$9:$D$400,U6)</f>
        <v>0</v>
      </c>
      <c r="AA6" t="s">
        <v>552</v>
      </c>
      <c r="AB6">
        <f>IFERROR(COUNTIFS('Env Access &amp; Data'!$B$9:$B$200,AA6,'Env Access &amp; Data'!$H$9:$H$200,"Complete")/COUNTIF('Env Access &amp; Data'!$B$9:$B$200,AA6),0)</f>
        <v>0.6</v>
      </c>
      <c r="AC6">
        <f>COUNTIFS('Env Access &amp; Data'!$B$9:$B$200,AA6,'Env Access &amp; Data'!$I$9:$I$200,"Yes")</f>
        <v>0</v>
      </c>
      <c r="AH6" t="s">
        <v>310</v>
      </c>
      <c r="AI6">
        <f>COUNTIF('Execution Tracker'!$M$9:$M$400,AH6)</f>
        <v>26</v>
      </c>
      <c r="AJ6">
        <f>COUNTIFS('Execution Tracker'!$M$9:$M$400,AH6,'Execution Tracker'!$G$9:$G$400,"Blocked")</f>
        <v>5</v>
      </c>
      <c r="AO6" t="s">
        <v>541</v>
      </c>
      <c r="AP6">
        <f>COUNTIF('Defect Log'!$S$9:$S$200,AO6)</f>
        <v>7</v>
      </c>
      <c r="AR6" t="s">
        <v>310</v>
      </c>
      <c r="AS6">
        <f>COUNTIFS('Readiness Checklist'!$F$9:$F$200,"&lt;&gt;",'Readiness Checklist'!$K$9:$K$200,"Yes")</f>
        <v>5</v>
      </c>
    </row>
    <row r="7" spans="1:45" x14ac:dyDescent="0.25">
      <c r="A7" t="s">
        <v>1429</v>
      </c>
      <c r="B7">
        <f>IFERROR(COUNTIFS('Exit &amp; Sign-Off'!$D$9:$D$50,"Yes",'Exit &amp; Sign-Off'!$F$9:$F$50,"Complete")/COUNTIF('Exit &amp; Sign-Off'!$D$9:$D$50,"Yes"),0)</f>
        <v>0.375</v>
      </c>
      <c r="D7" t="s">
        <v>652</v>
      </c>
      <c r="E7">
        <f>IFERROR(COUNTIFS('Readiness Checklist'!$B$9:$B$200,D7,'Readiness Checklist'!$H$9:$H$200,"Complete")/COUNTIF('Readiness Checklist'!$B$9:$B$200,D7),0)</f>
        <v>1</v>
      </c>
      <c r="F7">
        <f>COUNTIFS('Readiness Checklist'!$B$9:$B$200,D7,'Readiness Checklist'!$E$9:$E$200,"Yes",'Readiness Checklist'!$H$9:$H$200,"Complete")</f>
        <v>6</v>
      </c>
      <c r="O7" s="28">
        <v>46082</v>
      </c>
      <c r="P7">
        <f>COUNTIF('Execution Tracker'!$B$9:$B$400,O7)</f>
        <v>12</v>
      </c>
      <c r="Q7">
        <f>COUNTIFS('Execution Tracker'!$B$9:$B$400,O7,'Execution Tracker'!$G$9:$G$400,"Passed")</f>
        <v>5</v>
      </c>
      <c r="R7">
        <f>COUNTIFS('Execution Tracker'!$B$9:$B$400,O7,'Execution Tracker'!$G$9:$G$400,"Failed")</f>
        <v>3</v>
      </c>
      <c r="S7">
        <f>COUNTIFS('Execution Tracker'!$B$9:$B$400,O7,'Execution Tracker'!$G$9:$G$400,"Blocked")</f>
        <v>1</v>
      </c>
      <c r="U7" t="s">
        <v>343</v>
      </c>
      <c r="V7">
        <f>COUNTIF('Execution Tracker'!$D$9:$D$400,U7)</f>
        <v>7</v>
      </c>
      <c r="AO7" t="s">
        <v>1073</v>
      </c>
      <c r="AP7">
        <f>COUNTIF('Defect Log'!$S$9:$S$200,AO7)</f>
        <v>3</v>
      </c>
    </row>
    <row r="8" spans="1:45" x14ac:dyDescent="0.25">
      <c r="A8" t="s">
        <v>1430</v>
      </c>
      <c r="B8">
        <f>COUNTIFS('Issue Log'!$A$9:$A$100,"&lt;&gt;",'Issue Log'!$J$9:$J$100,"&lt;&gt;Resolved",'Issue Log'!$J$9:$J$100,"&lt;&gt;Closed")</f>
        <v>6</v>
      </c>
      <c r="D8" t="s">
        <v>667</v>
      </c>
      <c r="E8">
        <f>IFERROR(COUNTIFS('Readiness Checklist'!$B$9:$B$200,D8,'Readiness Checklist'!$H$9:$H$200,"Complete")/COUNTIF('Readiness Checklist'!$B$9:$B$200,D8),0)</f>
        <v>0.42857142857142855</v>
      </c>
      <c r="F8">
        <f>COUNTIFS('Readiness Checklist'!$B$9:$B$200,D8,'Readiness Checklist'!$E$9:$E$200,"Yes",'Readiness Checklist'!$H$9:$H$200,"Complete")</f>
        <v>3</v>
      </c>
      <c r="O8" s="28">
        <v>46083</v>
      </c>
      <c r="P8">
        <f>COUNTIF('Execution Tracker'!$B$9:$B$400,O8)</f>
        <v>10</v>
      </c>
      <c r="Q8">
        <f>COUNTIFS('Execution Tracker'!$B$9:$B$400,O8,'Execution Tracker'!$G$9:$G$400,"Passed")</f>
        <v>7</v>
      </c>
      <c r="R8">
        <f>COUNTIFS('Execution Tracker'!$B$9:$B$400,O8,'Execution Tracker'!$G$9:$G$400,"Failed")</f>
        <v>1</v>
      </c>
      <c r="S8">
        <f>COUNTIFS('Execution Tracker'!$B$9:$B$400,O8,'Execution Tracker'!$G$9:$G$400,"Blocked")</f>
        <v>2</v>
      </c>
      <c r="U8" t="s">
        <v>456</v>
      </c>
      <c r="V8">
        <f>COUNTIF('Execution Tracker'!$D$9:$D$400,U8)</f>
        <v>13</v>
      </c>
      <c r="AO8" t="s">
        <v>1123</v>
      </c>
      <c r="AP8">
        <f>COUNTIF('Defect Log'!$S$9:$S$200,AO8)</f>
        <v>4</v>
      </c>
    </row>
    <row r="9" spans="1:45" x14ac:dyDescent="0.25">
      <c r="A9" t="s">
        <v>1431</v>
      </c>
      <c r="B9">
        <f>COUNTIFS('Risk &amp; Assumptions'!$A$9:$A$100,"&lt;&gt;",'Risk &amp; Assumptions'!$O$9:$O$100,"&lt;&gt;Closed")</f>
        <v>8</v>
      </c>
      <c r="D9" t="s">
        <v>682</v>
      </c>
      <c r="E9">
        <f>IFERROR(COUNTIFS('Readiness Checklist'!$B$9:$B$200,D9,'Readiness Checklist'!$H$9:$H$200,"Complete")/COUNTIF('Readiness Checklist'!$B$9:$B$200,D9),0)</f>
        <v>0.2857142857142857</v>
      </c>
      <c r="F9">
        <f>COUNTIFS('Readiness Checklist'!$B$9:$B$200,D9,'Readiness Checklist'!$E$9:$E$200,"Yes",'Readiness Checklist'!$H$9:$H$200,"Complete")</f>
        <v>1</v>
      </c>
      <c r="O9" s="28">
        <v>46084</v>
      </c>
      <c r="P9">
        <f>COUNTIF('Execution Tracker'!$B$9:$B$400,O9)</f>
        <v>8</v>
      </c>
      <c r="Q9">
        <f>COUNTIFS('Execution Tracker'!$B$9:$B$400,O9,'Execution Tracker'!$G$9:$G$400,"Passed")</f>
        <v>6</v>
      </c>
      <c r="R9">
        <f>COUNTIFS('Execution Tracker'!$B$9:$B$400,O9,'Execution Tracker'!$G$9:$G$400,"Failed")</f>
        <v>2</v>
      </c>
      <c r="S9">
        <f>COUNTIFS('Execution Tracker'!$B$9:$B$400,O9,'Execution Tracker'!$G$9:$G$400,"Blocked")</f>
        <v>0</v>
      </c>
      <c r="U9" t="s">
        <v>460</v>
      </c>
      <c r="V9">
        <f>COUNTIF('Execution Tracker'!$D$9:$D$400,U9)</f>
        <v>15</v>
      </c>
      <c r="AO9" t="s">
        <v>1096</v>
      </c>
      <c r="AP9">
        <f>COUNTIF('Defect Log'!$S$9:$S$200,AO9)</f>
        <v>6</v>
      </c>
    </row>
    <row r="10" spans="1:45" x14ac:dyDescent="0.25">
      <c r="A10" t="s">
        <v>1432</v>
      </c>
      <c r="B10">
        <f>IFERROR(COUNTIF('Tester Register'!$N$9:$N$100,"Yes")/COUNTIFS('Tester Register'!$L$9:$L$100,"Yes"),0)</f>
        <v>0.88235294117647056</v>
      </c>
      <c r="D10" t="s">
        <v>697</v>
      </c>
      <c r="E10">
        <f>IFERROR(COUNTIFS('Readiness Checklist'!$B$9:$B$200,D10,'Readiness Checklist'!$H$9:$H$200,"Complete")/COUNTIF('Readiness Checklist'!$B$9:$B$200,D10),0)</f>
        <v>0.5714285714285714</v>
      </c>
      <c r="F10">
        <f>COUNTIFS('Readiness Checklist'!$B$9:$B$200,D10,'Readiness Checklist'!$E$9:$E$200,"Yes",'Readiness Checklist'!$H$9:$H$200,"Complete")</f>
        <v>4</v>
      </c>
      <c r="O10" s="28">
        <v>46085</v>
      </c>
      <c r="P10">
        <f>COUNTIF('Execution Tracker'!$B$9:$B$400,O10)</f>
        <v>11</v>
      </c>
      <c r="Q10">
        <f>COUNTIFS('Execution Tracker'!$B$9:$B$400,O10,'Execution Tracker'!$G$9:$G$400,"Passed")</f>
        <v>8</v>
      </c>
      <c r="R10">
        <f>COUNTIFS('Execution Tracker'!$B$9:$B$400,O10,'Execution Tracker'!$G$9:$G$400,"Failed")</f>
        <v>1</v>
      </c>
      <c r="S10">
        <f>COUNTIFS('Execution Tracker'!$B$9:$B$400,O10,'Execution Tracker'!$G$9:$G$400,"Blocked")</f>
        <v>1</v>
      </c>
      <c r="U10" t="s">
        <v>241</v>
      </c>
      <c r="V10">
        <f>COUNTIF('Execution Tracker'!$D$9:$D$400,U10)</f>
        <v>0</v>
      </c>
    </row>
    <row r="11" spans="1:45" x14ac:dyDescent="0.25">
      <c r="A11" t="s">
        <v>1433</v>
      </c>
      <c r="B11">
        <f>COUNTIF('Readiness Checklist'!$M$9:$M$200,"Yes")</f>
        <v>29</v>
      </c>
      <c r="D11" t="s">
        <v>712</v>
      </c>
      <c r="E11">
        <f>IFERROR(COUNTIFS('Readiness Checklist'!$B$9:$B$200,D11,'Readiness Checklist'!$H$9:$H$200,"Complete")/COUNTIF('Readiness Checklist'!$B$9:$B$200,D11),0)</f>
        <v>0.42857142857142855</v>
      </c>
      <c r="F11">
        <f>COUNTIFS('Readiness Checklist'!$B$9:$B$200,D11,'Readiness Checklist'!$E$9:$E$200,"Yes",'Readiness Checklist'!$H$9:$H$200,"Complete")</f>
        <v>2</v>
      </c>
      <c r="O11" s="28">
        <v>46086</v>
      </c>
      <c r="P11">
        <f>COUNTIF('Execution Tracker'!$B$9:$B$400,O11)</f>
        <v>10</v>
      </c>
      <c r="Q11">
        <f>COUNTIFS('Execution Tracker'!$B$9:$B$400,O11,'Execution Tracker'!$G$9:$G$400,"Passed")</f>
        <v>8</v>
      </c>
      <c r="R11">
        <f>COUNTIFS('Execution Tracker'!$B$9:$B$400,O11,'Execution Tracker'!$G$9:$G$400,"Failed")</f>
        <v>2</v>
      </c>
      <c r="S11">
        <f>COUNTIFS('Execution Tracker'!$B$9:$B$400,O11,'Execution Tracker'!$G$9:$G$400,"Blocked")</f>
        <v>0</v>
      </c>
      <c r="U11" t="s">
        <v>252</v>
      </c>
      <c r="V11">
        <f>COUNTIF('Execution Tracker'!$D$9:$D$400,U11)</f>
        <v>23</v>
      </c>
    </row>
    <row r="12" spans="1:45" x14ac:dyDescent="0.25">
      <c r="A12" t="s">
        <v>1434</v>
      </c>
      <c r="B12">
        <f>COUNTIF('Issue Log'!$N$9:$N$100,"Yes")</f>
        <v>6</v>
      </c>
      <c r="O12" s="28">
        <v>46087</v>
      </c>
      <c r="P12">
        <f>COUNTIF('Execution Tracker'!$B$9:$B$400,O12)</f>
        <v>11</v>
      </c>
      <c r="Q12">
        <f>COUNTIFS('Execution Tracker'!$B$9:$B$400,O12,'Execution Tracker'!$G$9:$G$400,"Passed")</f>
        <v>7</v>
      </c>
      <c r="R12">
        <f>COUNTIFS('Execution Tracker'!$B$9:$B$400,O12,'Execution Tracker'!$G$9:$G$400,"Failed")</f>
        <v>1</v>
      </c>
      <c r="S12">
        <f>COUNTIFS('Execution Tracker'!$B$9:$B$400,O12,'Execution Tracker'!$G$9:$G$400,"Blocked")</f>
        <v>1</v>
      </c>
      <c r="U12" t="s">
        <v>243</v>
      </c>
      <c r="V12">
        <f>COUNTIF('Execution Tracker'!$D$9:$D$400,U12)</f>
        <v>11</v>
      </c>
    </row>
    <row r="13" spans="1:45" x14ac:dyDescent="0.25">
      <c r="A13" t="s">
        <v>1435</v>
      </c>
      <c r="B13">
        <f>COUNTIF('UAT Plan'!$L$9:$L$100,"Yes")</f>
        <v>3</v>
      </c>
      <c r="O13" s="28">
        <v>46088</v>
      </c>
      <c r="P13">
        <f>COUNTIF('Execution Tracker'!$B$9:$B$400,O13)</f>
        <v>12</v>
      </c>
      <c r="Q13">
        <f>COUNTIFS('Execution Tracker'!$B$9:$B$400,O13,'Execution Tracker'!$G$9:$G$400,"Passed")</f>
        <v>6</v>
      </c>
      <c r="R13">
        <f>COUNTIFS('Execution Tracker'!$B$9:$B$400,O13,'Execution Tracker'!$G$9:$G$400,"Failed")</f>
        <v>2</v>
      </c>
      <c r="S13">
        <f>COUNTIFS('Execution Tracker'!$B$9:$B$400,O13,'Execution Tracker'!$G$9:$G$400,"Blocked")</f>
        <v>2</v>
      </c>
      <c r="U13" t="s">
        <v>476</v>
      </c>
      <c r="V13">
        <f>COUNTIF('Execution Tracker'!$D$9:$D$400,U13)</f>
        <v>12</v>
      </c>
    </row>
    <row r="14" spans="1:45" x14ac:dyDescent="0.25">
      <c r="O14" s="28">
        <v>46089</v>
      </c>
      <c r="P14">
        <f>COUNTIF('Execution Tracker'!$B$9:$B$400,O14)</f>
        <v>12</v>
      </c>
      <c r="Q14">
        <f>COUNTIFS('Execution Tracker'!$B$9:$B$400,O14,'Execution Tracker'!$G$9:$G$400,"Passed")</f>
        <v>6</v>
      </c>
      <c r="R14">
        <f>COUNTIFS('Execution Tracker'!$B$9:$B$400,O14,'Execution Tracker'!$G$9:$G$400,"Failed")</f>
        <v>3</v>
      </c>
      <c r="S14">
        <f>COUNTIFS('Execution Tracker'!$B$9:$B$400,O14,'Execution Tracker'!$G$9:$G$400,"Blocked")</f>
        <v>2</v>
      </c>
      <c r="U14" t="s">
        <v>231</v>
      </c>
      <c r="V14">
        <f>COUNTIF('Execution Tracker'!$D$9:$D$400,U14)</f>
        <v>0</v>
      </c>
    </row>
    <row r="15" spans="1:45" x14ac:dyDescent="0.25">
      <c r="A15" t="s">
        <v>1436</v>
      </c>
      <c r="B15">
        <f>COUNTA('Scenario Register'!$A$9:$A$200)</f>
        <v>80</v>
      </c>
      <c r="O15" s="28">
        <v>46090</v>
      </c>
      <c r="P15">
        <f>COUNTIF('Execution Tracker'!$B$9:$B$400,O15)</f>
        <v>8</v>
      </c>
      <c r="Q15">
        <f>COUNTIFS('Execution Tracker'!$B$9:$B$400,O15,'Execution Tracker'!$G$9:$G$400,"Passed")</f>
        <v>1</v>
      </c>
      <c r="R15">
        <f>COUNTIFS('Execution Tracker'!$B$9:$B$400,O15,'Execution Tracker'!$G$9:$G$400,"Failed")</f>
        <v>4</v>
      </c>
      <c r="S15">
        <f>COUNTIFS('Execution Tracker'!$B$9:$B$400,O15,'Execution Tracker'!$G$9:$G$400,"Blocked")</f>
        <v>2</v>
      </c>
      <c r="U15" t="s">
        <v>481</v>
      </c>
      <c r="V15">
        <f>COUNTIF('Execution Tracker'!$D$9:$D$400,U15)</f>
        <v>5</v>
      </c>
    </row>
    <row r="16" spans="1:45" x14ac:dyDescent="0.25">
      <c r="A16" t="s">
        <v>1437</v>
      </c>
      <c r="B16">
        <f>COUNTIF('Scenario Register'!$M$9:$M$200,"&gt;0")</f>
        <v>64</v>
      </c>
      <c r="O16" s="28">
        <v>46091</v>
      </c>
      <c r="P16">
        <f>COUNTIF('Execution Tracker'!$B$9:$B$400,O16)</f>
        <v>11</v>
      </c>
      <c r="Q16">
        <f>COUNTIFS('Execution Tracker'!$B$9:$B$400,O16,'Execution Tracker'!$G$9:$G$400,"Passed")</f>
        <v>5</v>
      </c>
      <c r="R16">
        <f>COUNTIFS('Execution Tracker'!$B$9:$B$400,O16,'Execution Tracker'!$G$9:$G$400,"Failed")</f>
        <v>2</v>
      </c>
      <c r="S16">
        <f>COUNTIFS('Execution Tracker'!$B$9:$B$400,O16,'Execution Tracker'!$G$9:$G$400,"Blocked")</f>
        <v>1</v>
      </c>
      <c r="U16" t="s">
        <v>484</v>
      </c>
      <c r="V16">
        <f>COUNTIF('Execution Tracker'!$D$9:$D$400,U16)</f>
        <v>20</v>
      </c>
    </row>
    <row r="17" spans="1:22" x14ac:dyDescent="0.25">
      <c r="A17" t="s">
        <v>1438</v>
      </c>
      <c r="B17">
        <f>COUNTA('Execution Tracker'!$A$9:$A$400)</f>
        <v>150</v>
      </c>
      <c r="U17" t="s">
        <v>487</v>
      </c>
      <c r="V17">
        <f>COUNTIF('Execution Tracker'!$D$9:$D$400,U17)</f>
        <v>10</v>
      </c>
    </row>
    <row r="18" spans="1:22" x14ac:dyDescent="0.25">
      <c r="A18" t="s">
        <v>1439</v>
      </c>
      <c r="B18">
        <f>COUNTIF('Execution Tracker'!$G$9:$G$400,"Passed")</f>
        <v>90</v>
      </c>
      <c r="U18" t="s">
        <v>490</v>
      </c>
      <c r="V18">
        <f>COUNTIF('Execution Tracker'!$D$9:$D$400,U18)</f>
        <v>4</v>
      </c>
    </row>
    <row r="19" spans="1:22" x14ac:dyDescent="0.25">
      <c r="A19" t="s">
        <v>1440</v>
      </c>
      <c r="B19">
        <f>COUNTIF('Execution Tracker'!$G$9:$G$400,"Failed")</f>
        <v>28</v>
      </c>
    </row>
    <row r="20" spans="1:22" x14ac:dyDescent="0.25">
      <c r="A20" t="s">
        <v>1441</v>
      </c>
      <c r="B20">
        <f>COUNTIF('Execution Tracker'!$G$9:$G$400,"Blocked")</f>
        <v>17</v>
      </c>
    </row>
    <row r="21" spans="1:22" x14ac:dyDescent="0.25">
      <c r="A21" t="s">
        <v>1442</v>
      </c>
      <c r="B21">
        <f>COUNTIF('Execution Tracker'!$G$9:$G$400,"Deferred")</f>
        <v>15</v>
      </c>
    </row>
    <row r="22" spans="1:22" x14ac:dyDescent="0.25">
      <c r="A22" t="s">
        <v>1443</v>
      </c>
      <c r="B22">
        <f>COUNTIF('Execution Tracker'!$K$9:$K$400,"Pending")</f>
        <v>6</v>
      </c>
    </row>
    <row r="23" spans="1:22" x14ac:dyDescent="0.25">
      <c r="A23" t="s">
        <v>1444</v>
      </c>
      <c r="B23">
        <f>COUNTIF('Defect Log'!$R$9:$R$200,"Yes")</f>
        <v>15</v>
      </c>
    </row>
    <row r="24" spans="1:22" x14ac:dyDescent="0.25">
      <c r="A24" t="s">
        <v>1445</v>
      </c>
      <c r="B24">
        <f>COUNTIF('Defect Log'!$X$9:$X$200,"Yes")</f>
        <v>20</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7"/>
  <sheetViews>
    <sheetView showGridLines="0" zoomScaleNormal="100" workbookViewId="0">
      <pane ySplit="7" topLeftCell="A41" activePane="bottomLeft" state="frozen"/>
      <selection pane="bottomLeft" sqref="A1:L1"/>
    </sheetView>
  </sheetViews>
  <sheetFormatPr defaultColWidth="8.7109375" defaultRowHeight="15" customHeight="1" x14ac:dyDescent="0.25"/>
  <cols>
    <col min="1" max="1" width="22" customWidth="1"/>
    <col min="2" max="12" width="18" customWidth="1"/>
  </cols>
  <sheetData>
    <row r="1" spans="1:12" ht="25.5" customHeight="1" x14ac:dyDescent="0.25">
      <c r="A1" s="12" t="str">
        <f>'Branding &amp; Setup'!$B$9 &amp; " | User Guidance"</f>
        <v>Northbridge Citizens Services | User Guidance</v>
      </c>
      <c r="B1" s="12"/>
      <c r="C1" s="12"/>
      <c r="D1" s="12"/>
      <c r="E1" s="12"/>
      <c r="F1" s="12"/>
      <c r="G1" s="12"/>
      <c r="H1" s="12"/>
      <c r="I1" s="12"/>
      <c r="J1" s="12"/>
      <c r="K1" s="12"/>
      <c r="L1" s="12"/>
    </row>
    <row r="2" spans="1:12"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row>
    <row r="3" spans="1:12" ht="18" customHeight="1" x14ac:dyDescent="0.25">
      <c r="A3" s="13" t="s">
        <v>0</v>
      </c>
      <c r="B3" s="13" t="s">
        <v>1</v>
      </c>
      <c r="C3" s="13" t="s">
        <v>2</v>
      </c>
      <c r="D3" s="13" t="s">
        <v>3</v>
      </c>
      <c r="E3" s="13" t="s">
        <v>4</v>
      </c>
    </row>
    <row r="4" spans="1:12" ht="18" customHeight="1" x14ac:dyDescent="0.25">
      <c r="A4" s="10" t="s">
        <v>105</v>
      </c>
      <c r="B4" s="10"/>
      <c r="C4" s="10"/>
      <c r="D4" s="10"/>
      <c r="E4" s="10"/>
      <c r="F4" s="10"/>
      <c r="G4" s="10"/>
      <c r="H4" s="10"/>
      <c r="I4" s="10"/>
      <c r="J4" s="10"/>
      <c r="K4" s="10"/>
      <c r="L4" s="10"/>
    </row>
    <row r="5" spans="1:12" ht="18" customHeight="1" x14ac:dyDescent="0.25">
      <c r="A5" s="10"/>
      <c r="B5" s="10"/>
      <c r="C5" s="10"/>
      <c r="D5" s="10"/>
      <c r="E5" s="10"/>
      <c r="F5" s="10"/>
      <c r="G5" s="10"/>
      <c r="H5" s="10"/>
      <c r="I5" s="10"/>
      <c r="J5" s="10"/>
      <c r="K5" s="10"/>
      <c r="L5" s="10"/>
    </row>
    <row r="6" spans="1:12" ht="18" customHeight="1" x14ac:dyDescent="0.25">
      <c r="A6" s="10"/>
      <c r="B6" s="10"/>
      <c r="C6" s="10"/>
      <c r="D6" s="10"/>
      <c r="E6" s="10"/>
      <c r="F6" s="10"/>
      <c r="G6" s="10"/>
      <c r="H6" s="10"/>
      <c r="I6" s="10"/>
      <c r="J6" s="10"/>
      <c r="K6" s="10"/>
      <c r="L6" s="10"/>
    </row>
    <row r="8" spans="1:12" ht="15" customHeight="1" x14ac:dyDescent="0.25">
      <c r="A8" s="9" t="s">
        <v>106</v>
      </c>
      <c r="B8" s="9"/>
      <c r="C8" s="9"/>
      <c r="D8" s="9"/>
      <c r="E8" s="9"/>
      <c r="F8" s="9"/>
      <c r="G8" s="9"/>
      <c r="H8" s="9"/>
      <c r="I8" s="9"/>
      <c r="J8" s="9"/>
      <c r="K8" s="9"/>
      <c r="L8" s="9"/>
    </row>
    <row r="9" spans="1:12" ht="15" customHeight="1" x14ac:dyDescent="0.25">
      <c r="A9" s="10" t="s">
        <v>107</v>
      </c>
      <c r="B9" s="10"/>
      <c r="C9" s="10"/>
      <c r="D9" s="10"/>
      <c r="E9" s="10"/>
      <c r="F9" s="10"/>
      <c r="G9" s="10"/>
      <c r="H9" s="10"/>
      <c r="I9" s="10"/>
      <c r="J9" s="10"/>
      <c r="K9" s="10"/>
      <c r="L9" s="10"/>
    </row>
    <row r="10" spans="1:12" x14ac:dyDescent="0.25">
      <c r="A10" s="10"/>
      <c r="B10" s="10"/>
      <c r="C10" s="10"/>
      <c r="D10" s="10"/>
      <c r="E10" s="10"/>
      <c r="F10" s="10"/>
      <c r="G10" s="10"/>
      <c r="H10" s="10"/>
      <c r="I10" s="10"/>
      <c r="J10" s="10"/>
      <c r="K10" s="10"/>
      <c r="L10" s="10"/>
    </row>
    <row r="11" spans="1:12" x14ac:dyDescent="0.25">
      <c r="A11" s="10"/>
      <c r="B11" s="10"/>
      <c r="C11" s="10"/>
      <c r="D11" s="10"/>
      <c r="E11" s="10"/>
      <c r="F11" s="10"/>
      <c r="G11" s="10"/>
      <c r="H11" s="10"/>
      <c r="I11" s="10"/>
      <c r="J11" s="10"/>
      <c r="K11" s="10"/>
      <c r="L11" s="10"/>
    </row>
    <row r="13" spans="1:12" ht="15" customHeight="1" x14ac:dyDescent="0.25">
      <c r="A13" s="9" t="s">
        <v>108</v>
      </c>
      <c r="B13" s="9"/>
      <c r="C13" s="9"/>
      <c r="D13" s="9"/>
      <c r="E13" s="9"/>
      <c r="F13" s="9"/>
      <c r="G13" s="9"/>
      <c r="H13" s="9"/>
      <c r="I13" s="9"/>
      <c r="J13" s="9"/>
      <c r="K13" s="9"/>
      <c r="L13" s="9"/>
    </row>
    <row r="14" spans="1:12" ht="15" customHeight="1" x14ac:dyDescent="0.25">
      <c r="A14" s="10" t="s">
        <v>109</v>
      </c>
      <c r="B14" s="10"/>
      <c r="C14" s="10"/>
      <c r="D14" s="10"/>
      <c r="E14" s="10"/>
      <c r="F14" s="10"/>
      <c r="G14" s="10"/>
      <c r="H14" s="10"/>
      <c r="I14" s="10"/>
      <c r="J14" s="10"/>
      <c r="K14" s="10"/>
      <c r="L14" s="10"/>
    </row>
    <row r="15" spans="1:12" x14ac:dyDescent="0.25">
      <c r="A15" s="10"/>
      <c r="B15" s="10"/>
      <c r="C15" s="10"/>
      <c r="D15" s="10"/>
      <c r="E15" s="10"/>
      <c r="F15" s="10"/>
      <c r="G15" s="10"/>
      <c r="H15" s="10"/>
      <c r="I15" s="10"/>
      <c r="J15" s="10"/>
      <c r="K15" s="10"/>
      <c r="L15" s="10"/>
    </row>
    <row r="16" spans="1:12" x14ac:dyDescent="0.25">
      <c r="A16" s="10"/>
      <c r="B16" s="10"/>
      <c r="C16" s="10"/>
      <c r="D16" s="10"/>
      <c r="E16" s="10"/>
      <c r="F16" s="10"/>
      <c r="G16" s="10"/>
      <c r="H16" s="10"/>
      <c r="I16" s="10"/>
      <c r="J16" s="10"/>
      <c r="K16" s="10"/>
      <c r="L16" s="10"/>
    </row>
    <row r="18" spans="1:12" ht="15" customHeight="1" x14ac:dyDescent="0.25">
      <c r="A18" s="9" t="s">
        <v>110</v>
      </c>
      <c r="B18" s="9"/>
      <c r="C18" s="9"/>
      <c r="D18" s="9"/>
      <c r="E18" s="9"/>
      <c r="F18" s="9"/>
      <c r="G18" s="9"/>
      <c r="H18" s="9"/>
      <c r="I18" s="9"/>
      <c r="J18" s="9"/>
      <c r="K18" s="9"/>
      <c r="L18" s="9"/>
    </row>
    <row r="19" spans="1:12" ht="15" customHeight="1" x14ac:dyDescent="0.25">
      <c r="A19" s="10" t="s">
        <v>111</v>
      </c>
      <c r="B19" s="10"/>
      <c r="C19" s="10"/>
      <c r="D19" s="10"/>
      <c r="E19" s="10"/>
      <c r="F19" s="10"/>
      <c r="G19" s="10"/>
      <c r="H19" s="10"/>
      <c r="I19" s="10"/>
      <c r="J19" s="10"/>
      <c r="K19" s="10"/>
      <c r="L19" s="10"/>
    </row>
    <row r="20" spans="1:12" x14ac:dyDescent="0.25">
      <c r="A20" s="10"/>
      <c r="B20" s="10"/>
      <c r="C20" s="10"/>
      <c r="D20" s="10"/>
      <c r="E20" s="10"/>
      <c r="F20" s="10"/>
      <c r="G20" s="10"/>
      <c r="H20" s="10"/>
      <c r="I20" s="10"/>
      <c r="J20" s="10"/>
      <c r="K20" s="10"/>
      <c r="L20" s="10"/>
    </row>
    <row r="21" spans="1:12" x14ac:dyDescent="0.25">
      <c r="A21" s="10"/>
      <c r="B21" s="10"/>
      <c r="C21" s="10"/>
      <c r="D21" s="10"/>
      <c r="E21" s="10"/>
      <c r="F21" s="10"/>
      <c r="G21" s="10"/>
      <c r="H21" s="10"/>
      <c r="I21" s="10"/>
      <c r="J21" s="10"/>
      <c r="K21" s="10"/>
      <c r="L21" s="10"/>
    </row>
    <row r="23" spans="1:12" ht="15" customHeight="1" x14ac:dyDescent="0.25">
      <c r="A23" s="9" t="s">
        <v>112</v>
      </c>
      <c r="B23" s="9"/>
      <c r="C23" s="9"/>
      <c r="D23" s="9"/>
      <c r="E23" s="9"/>
      <c r="F23" s="9"/>
      <c r="G23" s="9"/>
      <c r="H23" s="9"/>
      <c r="I23" s="9"/>
      <c r="J23" s="9"/>
      <c r="K23" s="9"/>
      <c r="L23" s="9"/>
    </row>
    <row r="24" spans="1:12" ht="15" customHeight="1" x14ac:dyDescent="0.25">
      <c r="A24" s="10" t="s">
        <v>113</v>
      </c>
      <c r="B24" s="10"/>
      <c r="C24" s="10"/>
      <c r="D24" s="10"/>
      <c r="E24" s="10"/>
      <c r="F24" s="10"/>
      <c r="G24" s="10"/>
      <c r="H24" s="10"/>
      <c r="I24" s="10"/>
      <c r="J24" s="10"/>
      <c r="K24" s="10"/>
      <c r="L24" s="10"/>
    </row>
    <row r="25" spans="1:12" x14ac:dyDescent="0.25">
      <c r="A25" s="10"/>
      <c r="B25" s="10"/>
      <c r="C25" s="10"/>
      <c r="D25" s="10"/>
      <c r="E25" s="10"/>
      <c r="F25" s="10"/>
      <c r="G25" s="10"/>
      <c r="H25" s="10"/>
      <c r="I25" s="10"/>
      <c r="J25" s="10"/>
      <c r="K25" s="10"/>
      <c r="L25" s="10"/>
    </row>
    <row r="26" spans="1:12" x14ac:dyDescent="0.25">
      <c r="A26" s="10"/>
      <c r="B26" s="10"/>
      <c r="C26" s="10"/>
      <c r="D26" s="10"/>
      <c r="E26" s="10"/>
      <c r="F26" s="10"/>
      <c r="G26" s="10"/>
      <c r="H26" s="10"/>
      <c r="I26" s="10"/>
      <c r="J26" s="10"/>
      <c r="K26" s="10"/>
      <c r="L26" s="10"/>
    </row>
    <row r="28" spans="1:12" ht="15" customHeight="1" x14ac:dyDescent="0.25">
      <c r="A28" s="9" t="s">
        <v>114</v>
      </c>
      <c r="B28" s="9"/>
      <c r="C28" s="9"/>
      <c r="D28" s="9"/>
      <c r="E28" s="9"/>
      <c r="F28" s="9"/>
      <c r="G28" s="9"/>
      <c r="H28" s="9"/>
      <c r="I28" s="9"/>
      <c r="J28" s="9"/>
      <c r="K28" s="9"/>
      <c r="L28" s="9"/>
    </row>
    <row r="29" spans="1:12" ht="15" customHeight="1" x14ac:dyDescent="0.25">
      <c r="A29" s="10" t="s">
        <v>115</v>
      </c>
      <c r="B29" s="10"/>
      <c r="C29" s="10"/>
      <c r="D29" s="10"/>
      <c r="E29" s="10"/>
      <c r="F29" s="10"/>
      <c r="G29" s="10"/>
      <c r="H29" s="10"/>
      <c r="I29" s="10"/>
      <c r="J29" s="10"/>
      <c r="K29" s="10"/>
      <c r="L29" s="10"/>
    </row>
    <row r="30" spans="1:12" x14ac:dyDescent="0.25">
      <c r="A30" s="10"/>
      <c r="B30" s="10"/>
      <c r="C30" s="10"/>
      <c r="D30" s="10"/>
      <c r="E30" s="10"/>
      <c r="F30" s="10"/>
      <c r="G30" s="10"/>
      <c r="H30" s="10"/>
      <c r="I30" s="10"/>
      <c r="J30" s="10"/>
      <c r="K30" s="10"/>
      <c r="L30" s="10"/>
    </row>
    <row r="31" spans="1:12" x14ac:dyDescent="0.25">
      <c r="A31" s="10"/>
      <c r="B31" s="10"/>
      <c r="C31" s="10"/>
      <c r="D31" s="10"/>
      <c r="E31" s="10"/>
      <c r="F31" s="10"/>
      <c r="G31" s="10"/>
      <c r="H31" s="10"/>
      <c r="I31" s="10"/>
      <c r="J31" s="10"/>
      <c r="K31" s="10"/>
      <c r="L31" s="10"/>
    </row>
    <row r="33" spans="1:12" ht="15" customHeight="1" x14ac:dyDescent="0.25">
      <c r="A33" s="9" t="s">
        <v>116</v>
      </c>
      <c r="B33" s="9"/>
      <c r="C33" s="9"/>
      <c r="D33" s="9"/>
      <c r="E33" s="9"/>
      <c r="F33" s="9"/>
      <c r="G33" s="9"/>
      <c r="H33" s="9"/>
      <c r="I33" s="9"/>
      <c r="J33" s="9"/>
      <c r="K33" s="9"/>
      <c r="L33" s="9"/>
    </row>
    <row r="34" spans="1:12" ht="15" customHeight="1" x14ac:dyDescent="0.25">
      <c r="A34" s="10" t="s">
        <v>117</v>
      </c>
      <c r="B34" s="10"/>
      <c r="C34" s="10"/>
      <c r="D34" s="10"/>
      <c r="E34" s="10"/>
      <c r="F34" s="10"/>
      <c r="G34" s="10"/>
      <c r="H34" s="10"/>
      <c r="I34" s="10"/>
      <c r="J34" s="10"/>
      <c r="K34" s="10"/>
      <c r="L34" s="10"/>
    </row>
    <row r="35" spans="1:12" x14ac:dyDescent="0.25">
      <c r="A35" s="10"/>
      <c r="B35" s="10"/>
      <c r="C35" s="10"/>
      <c r="D35" s="10"/>
      <c r="E35" s="10"/>
      <c r="F35" s="10"/>
      <c r="G35" s="10"/>
      <c r="H35" s="10"/>
      <c r="I35" s="10"/>
      <c r="J35" s="10"/>
      <c r="K35" s="10"/>
      <c r="L35" s="10"/>
    </row>
    <row r="36" spans="1:12" x14ac:dyDescent="0.25">
      <c r="A36" s="10"/>
      <c r="B36" s="10"/>
      <c r="C36" s="10"/>
      <c r="D36" s="10"/>
      <c r="E36" s="10"/>
      <c r="F36" s="10"/>
      <c r="G36" s="10"/>
      <c r="H36" s="10"/>
      <c r="I36" s="10"/>
      <c r="J36" s="10"/>
      <c r="K36" s="10"/>
      <c r="L36" s="10"/>
    </row>
    <row r="38" spans="1:12" ht="15" customHeight="1" x14ac:dyDescent="0.25">
      <c r="A38" s="9" t="s">
        <v>118</v>
      </c>
      <c r="B38" s="9"/>
      <c r="C38" s="9"/>
      <c r="D38" s="9"/>
      <c r="E38" s="9"/>
      <c r="F38" s="9"/>
      <c r="G38" s="9"/>
      <c r="H38" s="9"/>
      <c r="I38" s="9"/>
      <c r="J38" s="9"/>
      <c r="K38" s="9"/>
      <c r="L38" s="9"/>
    </row>
    <row r="39" spans="1:12" ht="15" customHeight="1" x14ac:dyDescent="0.25">
      <c r="A39" s="10" t="s">
        <v>119</v>
      </c>
      <c r="B39" s="10"/>
      <c r="C39" s="10"/>
      <c r="D39" s="10"/>
      <c r="E39" s="10"/>
      <c r="F39" s="10"/>
      <c r="G39" s="10"/>
      <c r="H39" s="10"/>
      <c r="I39" s="10"/>
      <c r="J39" s="10"/>
      <c r="K39" s="10"/>
      <c r="L39" s="10"/>
    </row>
    <row r="40" spans="1:12" x14ac:dyDescent="0.25">
      <c r="A40" s="10"/>
      <c r="B40" s="10"/>
      <c r="C40" s="10"/>
      <c r="D40" s="10"/>
      <c r="E40" s="10"/>
      <c r="F40" s="10"/>
      <c r="G40" s="10"/>
      <c r="H40" s="10"/>
      <c r="I40" s="10"/>
      <c r="J40" s="10"/>
      <c r="K40" s="10"/>
      <c r="L40" s="10"/>
    </row>
    <row r="41" spans="1:12" x14ac:dyDescent="0.25">
      <c r="A41" s="10"/>
      <c r="B41" s="10"/>
      <c r="C41" s="10"/>
      <c r="D41" s="10"/>
      <c r="E41" s="10"/>
      <c r="F41" s="10"/>
      <c r="G41" s="10"/>
      <c r="H41" s="10"/>
      <c r="I41" s="10"/>
      <c r="J41" s="10"/>
      <c r="K41" s="10"/>
      <c r="L41" s="10"/>
    </row>
    <row r="43" spans="1:12" ht="15" customHeight="1" x14ac:dyDescent="0.25">
      <c r="A43" s="9" t="s">
        <v>120</v>
      </c>
      <c r="B43" s="9"/>
      <c r="C43" s="9"/>
      <c r="D43" s="9"/>
      <c r="E43" s="9"/>
      <c r="F43" s="9"/>
      <c r="G43" s="9"/>
      <c r="H43" s="9"/>
      <c r="I43" s="9"/>
      <c r="J43" s="9"/>
      <c r="K43" s="9"/>
      <c r="L43" s="9"/>
    </row>
    <row r="44" spans="1:12" ht="15" customHeight="1" x14ac:dyDescent="0.25">
      <c r="A44" s="10" t="s">
        <v>121</v>
      </c>
      <c r="B44" s="10"/>
      <c r="C44" s="10"/>
      <c r="D44" s="10"/>
      <c r="E44" s="10"/>
      <c r="F44" s="10"/>
      <c r="G44" s="10"/>
      <c r="H44" s="10"/>
      <c r="I44" s="10"/>
      <c r="J44" s="10"/>
      <c r="K44" s="10"/>
      <c r="L44" s="10"/>
    </row>
    <row r="45" spans="1:12" x14ac:dyDescent="0.25">
      <c r="A45" s="10"/>
      <c r="B45" s="10"/>
      <c r="C45" s="10"/>
      <c r="D45" s="10"/>
      <c r="E45" s="10"/>
      <c r="F45" s="10"/>
      <c r="G45" s="10"/>
      <c r="H45" s="10"/>
      <c r="I45" s="10"/>
      <c r="J45" s="10"/>
      <c r="K45" s="10"/>
      <c r="L45" s="10"/>
    </row>
    <row r="46" spans="1:12" x14ac:dyDescent="0.25">
      <c r="A46" s="10"/>
      <c r="B46" s="10"/>
      <c r="C46" s="10"/>
      <c r="D46" s="10"/>
      <c r="E46" s="10"/>
      <c r="F46" s="10"/>
      <c r="G46" s="10"/>
      <c r="H46" s="10"/>
      <c r="I46" s="10"/>
      <c r="J46" s="10"/>
      <c r="K46" s="10"/>
      <c r="L46" s="10"/>
    </row>
    <row r="48" spans="1:12" ht="15" customHeight="1" x14ac:dyDescent="0.25">
      <c r="A48" s="9" t="s">
        <v>122</v>
      </c>
      <c r="B48" s="9"/>
      <c r="C48" s="9"/>
      <c r="D48" s="9"/>
      <c r="E48" s="9"/>
      <c r="F48" s="9"/>
      <c r="G48" s="9"/>
      <c r="H48" s="9"/>
      <c r="I48" s="9"/>
      <c r="J48" s="9"/>
      <c r="K48" s="9"/>
      <c r="L48" s="9"/>
    </row>
    <row r="49" spans="1:12" ht="15" customHeight="1" x14ac:dyDescent="0.25">
      <c r="A49" s="10" t="s">
        <v>123</v>
      </c>
      <c r="B49" s="10"/>
      <c r="C49" s="10"/>
      <c r="D49" s="10"/>
      <c r="E49" s="10"/>
      <c r="F49" s="10"/>
      <c r="G49" s="10"/>
      <c r="H49" s="10"/>
      <c r="I49" s="10"/>
      <c r="J49" s="10"/>
      <c r="K49" s="10"/>
      <c r="L49" s="10"/>
    </row>
    <row r="50" spans="1:12" x14ac:dyDescent="0.25">
      <c r="A50" s="10"/>
      <c r="B50" s="10"/>
      <c r="C50" s="10"/>
      <c r="D50" s="10"/>
      <c r="E50" s="10"/>
      <c r="F50" s="10"/>
      <c r="G50" s="10"/>
      <c r="H50" s="10"/>
      <c r="I50" s="10"/>
      <c r="J50" s="10"/>
      <c r="K50" s="10"/>
      <c r="L50" s="10"/>
    </row>
    <row r="51" spans="1:12" x14ac:dyDescent="0.25">
      <c r="A51" s="10"/>
      <c r="B51" s="10"/>
      <c r="C51" s="10"/>
      <c r="D51" s="10"/>
      <c r="E51" s="10"/>
      <c r="F51" s="10"/>
      <c r="G51" s="10"/>
      <c r="H51" s="10"/>
      <c r="I51" s="10"/>
      <c r="J51" s="10"/>
      <c r="K51" s="10"/>
      <c r="L51" s="10"/>
    </row>
    <row r="53" spans="1:12" ht="15" customHeight="1" x14ac:dyDescent="0.25">
      <c r="A53" s="9" t="s">
        <v>124</v>
      </c>
      <c r="B53" s="9"/>
      <c r="C53" s="9"/>
      <c r="D53" s="9"/>
      <c r="E53" s="9"/>
      <c r="F53" s="9"/>
      <c r="G53" s="9"/>
      <c r="H53" s="9"/>
      <c r="I53" s="9"/>
      <c r="J53" s="9"/>
      <c r="K53" s="9"/>
      <c r="L53" s="9"/>
    </row>
    <row r="54" spans="1:12" ht="15" customHeight="1" x14ac:dyDescent="0.25">
      <c r="A54" s="15" t="s">
        <v>80</v>
      </c>
      <c r="B54" s="8" t="s">
        <v>125</v>
      </c>
      <c r="C54" s="8"/>
      <c r="D54" s="8"/>
      <c r="E54" s="8"/>
      <c r="F54" s="8"/>
      <c r="G54" s="8"/>
      <c r="H54" s="8"/>
      <c r="I54" s="8"/>
      <c r="J54" s="8"/>
      <c r="K54" s="8"/>
      <c r="L54" s="8"/>
    </row>
    <row r="55" spans="1:12" ht="15" customHeight="1" x14ac:dyDescent="0.25">
      <c r="A55" s="15" t="s">
        <v>126</v>
      </c>
      <c r="B55" s="8" t="s">
        <v>127</v>
      </c>
      <c r="C55" s="8"/>
      <c r="D55" s="8"/>
      <c r="E55" s="8"/>
      <c r="F55" s="8"/>
      <c r="G55" s="8"/>
      <c r="H55" s="8"/>
      <c r="I55" s="8"/>
      <c r="J55" s="8"/>
      <c r="K55" s="8"/>
      <c r="L55" s="8"/>
    </row>
    <row r="56" spans="1:12" ht="15" customHeight="1" x14ac:dyDescent="0.25">
      <c r="A56" s="15" t="s">
        <v>128</v>
      </c>
      <c r="B56" s="8" t="s">
        <v>129</v>
      </c>
      <c r="C56" s="8"/>
      <c r="D56" s="8"/>
      <c r="E56" s="8"/>
      <c r="F56" s="8"/>
      <c r="G56" s="8"/>
      <c r="H56" s="8"/>
      <c r="I56" s="8"/>
      <c r="J56" s="8"/>
      <c r="K56" s="8"/>
      <c r="L56" s="8"/>
    </row>
    <row r="57" spans="1:12" ht="15" customHeight="1" x14ac:dyDescent="0.25">
      <c r="A57" s="15" t="s">
        <v>130</v>
      </c>
      <c r="B57" s="8" t="s">
        <v>131</v>
      </c>
      <c r="C57" s="8"/>
      <c r="D57" s="8"/>
      <c r="E57" s="8"/>
      <c r="F57" s="8"/>
      <c r="G57" s="8"/>
      <c r="H57" s="8"/>
      <c r="I57" s="8"/>
      <c r="J57" s="8"/>
      <c r="K57" s="8"/>
      <c r="L57" s="8"/>
    </row>
  </sheetData>
  <mergeCells count="26">
    <mergeCell ref="B57:L57"/>
    <mergeCell ref="A49:L51"/>
    <mergeCell ref="A53:L53"/>
    <mergeCell ref="B54:L54"/>
    <mergeCell ref="B55:L55"/>
    <mergeCell ref="B56:L56"/>
    <mergeCell ref="A38:L38"/>
    <mergeCell ref="A39:L41"/>
    <mergeCell ref="A43:L43"/>
    <mergeCell ref="A44:L46"/>
    <mergeCell ref="A48:L48"/>
    <mergeCell ref="A24:L26"/>
    <mergeCell ref="A28:L28"/>
    <mergeCell ref="A29:L31"/>
    <mergeCell ref="A33:L33"/>
    <mergeCell ref="A34:L36"/>
    <mergeCell ref="A13:L13"/>
    <mergeCell ref="A14:L16"/>
    <mergeCell ref="A18:L18"/>
    <mergeCell ref="A19:L21"/>
    <mergeCell ref="A23:L23"/>
    <mergeCell ref="A1:L1"/>
    <mergeCell ref="A2:L2"/>
    <mergeCell ref="A4:L6"/>
    <mergeCell ref="A8:L8"/>
    <mergeCell ref="A9:L11"/>
  </mergeCells>
  <hyperlinks>
    <hyperlink ref="A3" r:id="rId1" location="'Start%20Here'!A1" xr:uid="{00000000-0004-0000-0200-000000000000}"/>
    <hyperlink ref="B3" r:id="rId2" location="'UAT%20Overview'!A1" xr:uid="{00000000-0004-0000-0200-000001000000}"/>
    <hyperlink ref="C3" r:id="rId3" location="'Executive%20Dashboard'!A1" xr:uid="{00000000-0004-0000-0200-000002000000}"/>
    <hyperlink ref="D3" r:id="rId4" location="'Operational%20Dashboard'!A1" xr:uid="{00000000-0004-0000-0200-000003000000}"/>
    <hyperlink ref="E3" r:id="rId5" location="'Readiness%20Checklist'!A1" xr:uid="{00000000-0004-0000-0200-000004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7" topLeftCell="A8" activePane="bottomLeft" state="frozen"/>
      <selection pane="bottomLeft" sqref="A1:N1"/>
    </sheetView>
  </sheetViews>
  <sheetFormatPr defaultColWidth="8.7109375" defaultRowHeight="15" customHeight="1" x14ac:dyDescent="0.25"/>
  <cols>
    <col min="1" max="14" width="16" customWidth="1"/>
  </cols>
  <sheetData>
    <row r="1" spans="1:14" ht="25.5" customHeight="1" x14ac:dyDescent="0.25">
      <c r="A1" s="12" t="str">
        <f>'Branding &amp; Setup'!$B$9 &amp; " | UAT Overview"</f>
        <v>Northbridge Citizens Services | UAT Overview</v>
      </c>
      <c r="B1" s="12"/>
      <c r="C1" s="12"/>
      <c r="D1" s="12"/>
      <c r="E1" s="12"/>
      <c r="F1" s="12"/>
      <c r="G1" s="12"/>
      <c r="H1" s="12"/>
      <c r="I1" s="12"/>
      <c r="J1" s="12"/>
      <c r="K1" s="12"/>
      <c r="L1" s="12"/>
      <c r="M1" s="12"/>
      <c r="N1" s="12"/>
    </row>
    <row r="2" spans="1:14"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row>
    <row r="3" spans="1:14" ht="18" customHeight="1" x14ac:dyDescent="0.25">
      <c r="A3" s="13" t="s">
        <v>0</v>
      </c>
      <c r="B3" s="13" t="s">
        <v>1</v>
      </c>
      <c r="C3" s="13" t="s">
        <v>2</v>
      </c>
      <c r="D3" s="13" t="s">
        <v>3</v>
      </c>
      <c r="E3" s="13" t="s">
        <v>4</v>
      </c>
    </row>
    <row r="4" spans="1:14" ht="18" customHeight="1" x14ac:dyDescent="0.25">
      <c r="A4" s="10" t="s">
        <v>132</v>
      </c>
      <c r="B4" s="10"/>
      <c r="C4" s="10"/>
      <c r="D4" s="10"/>
      <c r="E4" s="10"/>
      <c r="F4" s="10"/>
      <c r="G4" s="10"/>
      <c r="H4" s="10"/>
      <c r="I4" s="10"/>
      <c r="J4" s="10"/>
      <c r="K4" s="10"/>
      <c r="L4" s="10"/>
      <c r="M4" s="10"/>
      <c r="N4" s="10"/>
    </row>
    <row r="5" spans="1:14" ht="18" customHeight="1" x14ac:dyDescent="0.25">
      <c r="A5" s="10"/>
      <c r="B5" s="10"/>
      <c r="C5" s="10"/>
      <c r="D5" s="10"/>
      <c r="E5" s="10"/>
      <c r="F5" s="10"/>
      <c r="G5" s="10"/>
      <c r="H5" s="10"/>
      <c r="I5" s="10"/>
      <c r="J5" s="10"/>
      <c r="K5" s="10"/>
      <c r="L5" s="10"/>
      <c r="M5" s="10"/>
      <c r="N5" s="10"/>
    </row>
    <row r="6" spans="1:14" ht="18" customHeight="1" x14ac:dyDescent="0.25">
      <c r="A6" s="10"/>
      <c r="B6" s="10"/>
      <c r="C6" s="10"/>
      <c r="D6" s="10"/>
      <c r="E6" s="10"/>
      <c r="F6" s="10"/>
      <c r="G6" s="10"/>
      <c r="H6" s="10"/>
      <c r="I6" s="10"/>
      <c r="J6" s="10"/>
      <c r="K6" s="10"/>
      <c r="L6" s="10"/>
      <c r="M6" s="10"/>
      <c r="N6" s="10"/>
    </row>
    <row r="8" spans="1:14" ht="15" customHeight="1" x14ac:dyDescent="0.25">
      <c r="A8" s="9" t="s">
        <v>133</v>
      </c>
      <c r="B8" s="9"/>
      <c r="C8" s="9"/>
      <c r="D8" s="9"/>
      <c r="F8" s="5" t="s">
        <v>134</v>
      </c>
      <c r="G8" s="5"/>
      <c r="H8" s="5"/>
      <c r="I8" s="4" t="s">
        <v>135</v>
      </c>
      <c r="J8" s="4"/>
      <c r="K8" s="4"/>
      <c r="L8" s="3" t="s">
        <v>136</v>
      </c>
      <c r="M8" s="3"/>
      <c r="N8" s="3"/>
    </row>
    <row r="9" spans="1:14" x14ac:dyDescent="0.25">
      <c r="A9" s="15" t="s">
        <v>137</v>
      </c>
      <c r="B9" s="2" t="str">
        <f>'Branding &amp; Setup'!$B$9</f>
        <v>Northbridge Citizens Services</v>
      </c>
      <c r="C9" s="2"/>
      <c r="D9" s="2"/>
      <c r="F9" s="1">
        <f>'Dashboard Data'!$B$1</f>
        <v>0.59649122807017541</v>
      </c>
      <c r="G9" s="1"/>
      <c r="H9" s="1"/>
      <c r="I9" s="29">
        <f>'Dashboard Data'!$B$2</f>
        <v>0.8</v>
      </c>
      <c r="J9" s="29"/>
      <c r="K9" s="29"/>
      <c r="L9" s="30">
        <f>'Dashboard Data'!$B$7</f>
        <v>0.375</v>
      </c>
      <c r="M9" s="30"/>
      <c r="N9" s="30"/>
    </row>
    <row r="10" spans="1:14" x14ac:dyDescent="0.25">
      <c r="A10" s="15" t="s">
        <v>138</v>
      </c>
      <c r="B10" s="2" t="str">
        <f>'Branding &amp; Setup'!$B$10</f>
        <v>Service Transformation Programme</v>
      </c>
      <c r="C10" s="2"/>
      <c r="D10" s="2"/>
      <c r="F10" s="1"/>
      <c r="G10" s="1"/>
      <c r="H10" s="1"/>
      <c r="I10" s="29"/>
      <c r="J10" s="29"/>
      <c r="K10" s="29"/>
      <c r="L10" s="30"/>
      <c r="M10" s="30"/>
      <c r="N10" s="30"/>
    </row>
    <row r="11" spans="1:14" ht="15" customHeight="1" x14ac:dyDescent="0.25">
      <c r="A11" s="15" t="s">
        <v>139</v>
      </c>
      <c r="B11" s="2" t="str">
        <f>'Branding &amp; Setup'!$B$11</f>
        <v>Release 2 - Case Management &amp; Appointments</v>
      </c>
      <c r="C11" s="2"/>
      <c r="D11" s="2"/>
      <c r="F11" s="31" t="s">
        <v>140</v>
      </c>
      <c r="G11" s="31"/>
      <c r="H11" s="31"/>
      <c r="I11" s="32" t="s">
        <v>141</v>
      </c>
      <c r="J11" s="32"/>
      <c r="K11" s="32"/>
      <c r="L11" s="33" t="s">
        <v>142</v>
      </c>
      <c r="M11" s="33"/>
      <c r="N11" s="33"/>
    </row>
    <row r="12" spans="1:14" x14ac:dyDescent="0.25">
      <c r="A12" s="15" t="s">
        <v>70</v>
      </c>
      <c r="B12" s="34">
        <f>'Branding &amp; Setup'!$B$12</f>
        <v>46093</v>
      </c>
      <c r="C12" s="34"/>
      <c r="D12" s="34"/>
      <c r="F12" s="35">
        <f>'Dashboard Data'!$B$3</f>
        <v>0.6</v>
      </c>
      <c r="G12" s="35"/>
      <c r="H12" s="35"/>
      <c r="I12" s="36">
        <f>'Dashboard Data'!$B$5</f>
        <v>5</v>
      </c>
      <c r="J12" s="36"/>
      <c r="K12" s="36"/>
      <c r="L12" s="37">
        <f>'Dashboard Data'!$B$8</f>
        <v>6</v>
      </c>
      <c r="M12" s="37"/>
      <c r="N12" s="37"/>
    </row>
    <row r="13" spans="1:14" x14ac:dyDescent="0.25">
      <c r="A13" s="15" t="s">
        <v>80</v>
      </c>
      <c r="B13" s="2" t="str">
        <f>'Branding &amp; Setup'!$B$17</f>
        <v>Aisha Khan</v>
      </c>
      <c r="C13" s="2"/>
      <c r="D13" s="2"/>
      <c r="F13" s="35"/>
      <c r="G13" s="35"/>
      <c r="H13" s="35"/>
      <c r="I13" s="36"/>
      <c r="J13" s="36"/>
      <c r="K13" s="36"/>
      <c r="L13" s="37"/>
      <c r="M13" s="37"/>
      <c r="N13" s="37"/>
    </row>
    <row r="14" spans="1:14" x14ac:dyDescent="0.25">
      <c r="A14" s="15" t="s">
        <v>143</v>
      </c>
      <c r="B14" s="34">
        <f>'Branding &amp; Setup'!$B$14</f>
        <v>46101</v>
      </c>
      <c r="C14" s="34"/>
      <c r="D14" s="34"/>
    </row>
    <row r="16" spans="1:14" ht="15" customHeight="1" x14ac:dyDescent="0.25">
      <c r="A16" s="9" t="s">
        <v>144</v>
      </c>
      <c r="B16" s="9"/>
      <c r="C16" s="9"/>
      <c r="D16" s="9"/>
      <c r="E16" s="9"/>
      <c r="F16" s="9"/>
      <c r="G16" s="9"/>
      <c r="H16" s="9"/>
      <c r="I16" s="9"/>
      <c r="J16" s="9"/>
      <c r="K16" s="9"/>
      <c r="L16" s="9"/>
      <c r="M16" s="9"/>
      <c r="N16" s="9"/>
    </row>
    <row r="17" spans="1:14" ht="15" customHeight="1" x14ac:dyDescent="0.25">
      <c r="A17" s="10" t="s">
        <v>145</v>
      </c>
      <c r="B17" s="10"/>
      <c r="C17" s="10"/>
      <c r="D17" s="10"/>
      <c r="E17" s="10"/>
      <c r="F17" s="10"/>
      <c r="G17" s="10"/>
      <c r="H17" s="10"/>
      <c r="I17" s="10"/>
      <c r="J17" s="10"/>
      <c r="K17" s="10"/>
      <c r="L17" s="10"/>
      <c r="M17" s="10"/>
      <c r="N17" s="10"/>
    </row>
    <row r="18" spans="1:14" x14ac:dyDescent="0.25">
      <c r="A18" s="10"/>
      <c r="B18" s="10"/>
      <c r="C18" s="10"/>
      <c r="D18" s="10"/>
      <c r="E18" s="10"/>
      <c r="F18" s="10"/>
      <c r="G18" s="10"/>
      <c r="H18" s="10"/>
      <c r="I18" s="10"/>
      <c r="J18" s="10"/>
      <c r="K18" s="10"/>
      <c r="L18" s="10"/>
      <c r="M18" s="10"/>
      <c r="N18" s="10"/>
    </row>
    <row r="19" spans="1:14" x14ac:dyDescent="0.25">
      <c r="A19" s="10"/>
      <c r="B19" s="10"/>
      <c r="C19" s="10"/>
      <c r="D19" s="10"/>
      <c r="E19" s="10"/>
      <c r="F19" s="10"/>
      <c r="G19" s="10"/>
      <c r="H19" s="10"/>
      <c r="I19" s="10"/>
      <c r="J19" s="10"/>
      <c r="K19" s="10"/>
      <c r="L19" s="10"/>
      <c r="M19" s="10"/>
      <c r="N19" s="10"/>
    </row>
    <row r="21" spans="1:14" ht="15" customHeight="1" x14ac:dyDescent="0.25">
      <c r="A21" s="9" t="s">
        <v>146</v>
      </c>
      <c r="B21" s="9"/>
      <c r="C21" s="9"/>
      <c r="D21" s="9"/>
      <c r="E21" s="9"/>
      <c r="F21" s="9"/>
      <c r="G21" s="9"/>
      <c r="I21" s="9" t="s">
        <v>147</v>
      </c>
      <c r="J21" s="9"/>
      <c r="K21" s="9"/>
      <c r="L21" s="9"/>
      <c r="M21" s="9"/>
      <c r="N21" s="9"/>
    </row>
    <row r="22" spans="1:14" ht="15" customHeight="1" x14ac:dyDescent="0.25">
      <c r="A22" s="21" t="s">
        <v>148</v>
      </c>
      <c r="B22" s="21" t="s">
        <v>149</v>
      </c>
      <c r="C22" s="21" t="s">
        <v>150</v>
      </c>
      <c r="D22" s="21" t="s">
        <v>151</v>
      </c>
      <c r="E22" s="21" t="s">
        <v>152</v>
      </c>
      <c r="F22" s="21" t="s">
        <v>153</v>
      </c>
      <c r="G22" s="21" t="s">
        <v>154</v>
      </c>
      <c r="I22" s="15" t="s">
        <v>155</v>
      </c>
      <c r="J22" s="8" t="s">
        <v>156</v>
      </c>
      <c r="K22" s="8"/>
      <c r="L22" s="8"/>
      <c r="M22" s="8"/>
      <c r="N22" s="8"/>
    </row>
    <row r="23" spans="1:14" ht="23.85" customHeight="1" x14ac:dyDescent="0.25">
      <c r="A23" s="14" t="s">
        <v>157</v>
      </c>
      <c r="B23" s="22">
        <v>46070</v>
      </c>
      <c r="C23" s="23">
        <v>46070</v>
      </c>
      <c r="D23" s="20" t="str">
        <f>'UAT Plan'!H9</f>
        <v>Complete</v>
      </c>
      <c r="E23" s="24">
        <f>'UAT Plan'!K9</f>
        <v>0</v>
      </c>
      <c r="F23" s="14" t="s">
        <v>158</v>
      </c>
      <c r="G23" s="14"/>
      <c r="I23" s="15" t="s">
        <v>159</v>
      </c>
      <c r="J23" s="8" t="s">
        <v>160</v>
      </c>
      <c r="K23" s="8"/>
      <c r="L23" s="8"/>
      <c r="M23" s="8"/>
      <c r="N23" s="8"/>
    </row>
    <row r="24" spans="1:14" ht="15" customHeight="1" x14ac:dyDescent="0.25">
      <c r="A24" s="14" t="s">
        <v>161</v>
      </c>
      <c r="B24" s="22">
        <v>46072</v>
      </c>
      <c r="C24" s="23">
        <v>46072</v>
      </c>
      <c r="D24" s="20" t="str">
        <f>'UAT Plan'!H10</f>
        <v>Complete</v>
      </c>
      <c r="E24" s="24">
        <f>'UAT Plan'!K10</f>
        <v>0</v>
      </c>
      <c r="F24" s="14" t="s">
        <v>158</v>
      </c>
      <c r="G24" s="14"/>
      <c r="I24" s="15" t="s">
        <v>162</v>
      </c>
      <c r="J24" s="8" t="s">
        <v>163</v>
      </c>
      <c r="K24" s="8"/>
      <c r="L24" s="8"/>
      <c r="M24" s="8"/>
      <c r="N24" s="8"/>
    </row>
    <row r="25" spans="1:14" ht="15" customHeight="1" x14ac:dyDescent="0.25">
      <c r="A25" s="14" t="s">
        <v>164</v>
      </c>
      <c r="B25" s="22">
        <v>46075</v>
      </c>
      <c r="C25" s="23">
        <v>46077</v>
      </c>
      <c r="D25" s="20" t="str">
        <f>'UAT Plan'!H11</f>
        <v>Complete</v>
      </c>
      <c r="E25" s="24">
        <f>'UAT Plan'!K11</f>
        <v>2</v>
      </c>
      <c r="F25" s="14" t="s">
        <v>158</v>
      </c>
      <c r="G25" s="14"/>
      <c r="I25" s="15" t="s">
        <v>165</v>
      </c>
      <c r="J25" s="8" t="s">
        <v>166</v>
      </c>
      <c r="K25" s="8"/>
      <c r="L25" s="8"/>
      <c r="M25" s="8"/>
      <c r="N25" s="8"/>
    </row>
    <row r="26" spans="1:14" ht="15" customHeight="1" x14ac:dyDescent="0.25">
      <c r="A26" s="14" t="s">
        <v>167</v>
      </c>
      <c r="B26" s="22">
        <v>46076</v>
      </c>
      <c r="C26" s="23">
        <v>46076</v>
      </c>
      <c r="D26" s="20" t="str">
        <f>'UAT Plan'!H12</f>
        <v>Complete</v>
      </c>
      <c r="E26" s="24">
        <f>'UAT Plan'!K12</f>
        <v>0</v>
      </c>
      <c r="F26" s="14" t="s">
        <v>168</v>
      </c>
      <c r="G26" s="14"/>
      <c r="I26" s="15" t="s">
        <v>169</v>
      </c>
      <c r="J26" s="8" t="s">
        <v>170</v>
      </c>
      <c r="K26" s="8"/>
      <c r="L26" s="8"/>
      <c r="M26" s="8"/>
      <c r="N26" s="8"/>
    </row>
    <row r="27" spans="1:14" ht="15" customHeight="1" x14ac:dyDescent="0.25">
      <c r="A27" s="14" t="s">
        <v>171</v>
      </c>
      <c r="B27" s="22">
        <v>46077</v>
      </c>
      <c r="C27" s="23">
        <v>46077</v>
      </c>
      <c r="D27" s="20" t="str">
        <f>'UAT Plan'!H13</f>
        <v>Complete</v>
      </c>
      <c r="E27" s="24">
        <f>'UAT Plan'!K13</f>
        <v>0</v>
      </c>
      <c r="F27" s="14" t="s">
        <v>172</v>
      </c>
      <c r="G27" s="14"/>
      <c r="I27" s="15" t="s">
        <v>173</v>
      </c>
      <c r="J27" s="8" t="s">
        <v>174</v>
      </c>
      <c r="K27" s="8"/>
      <c r="L27" s="8"/>
      <c r="M27" s="8"/>
      <c r="N27" s="8"/>
    </row>
    <row r="28" spans="1:14" ht="15" customHeight="1" x14ac:dyDescent="0.25">
      <c r="A28" s="14" t="s">
        <v>175</v>
      </c>
      <c r="B28" s="22">
        <v>46080</v>
      </c>
      <c r="C28" s="23">
        <v>46080</v>
      </c>
      <c r="D28" s="20" t="str">
        <f>'UAT Plan'!H14</f>
        <v>Complete</v>
      </c>
      <c r="E28" s="24">
        <f>'UAT Plan'!K14</f>
        <v>0</v>
      </c>
      <c r="F28" s="14" t="s">
        <v>158</v>
      </c>
      <c r="G28" s="14"/>
      <c r="I28" s="15" t="s">
        <v>176</v>
      </c>
      <c r="J28" s="8" t="s">
        <v>177</v>
      </c>
      <c r="K28" s="8"/>
      <c r="L28" s="8"/>
      <c r="M28" s="8"/>
      <c r="N28" s="8"/>
    </row>
    <row r="29" spans="1:14" ht="25.5" x14ac:dyDescent="0.25">
      <c r="A29" s="14" t="s">
        <v>178</v>
      </c>
      <c r="B29" s="22">
        <v>46082</v>
      </c>
      <c r="C29" s="23">
        <v>46082</v>
      </c>
      <c r="D29" s="20" t="str">
        <f>'UAT Plan'!H15</f>
        <v>Complete</v>
      </c>
      <c r="E29" s="24">
        <f>'UAT Plan'!K15</f>
        <v>0</v>
      </c>
      <c r="F29" s="14" t="s">
        <v>172</v>
      </c>
      <c r="G29" s="14"/>
    </row>
    <row r="30" spans="1:14" ht="51" x14ac:dyDescent="0.25">
      <c r="A30" s="14" t="s">
        <v>179</v>
      </c>
      <c r="B30" s="22">
        <v>46083</v>
      </c>
      <c r="C30" s="23"/>
      <c r="D30" s="20" t="str">
        <f>'UAT Plan'!H16</f>
        <v>At Risk</v>
      </c>
      <c r="E30" s="24">
        <f>'UAT Plan'!K16</f>
        <v>10</v>
      </c>
      <c r="F30" s="14" t="s">
        <v>172</v>
      </c>
      <c r="G30" s="14" t="s">
        <v>180</v>
      </c>
    </row>
  </sheetData>
  <mergeCells count="33">
    <mergeCell ref="J27:N27"/>
    <mergeCell ref="J28:N28"/>
    <mergeCell ref="J22:N22"/>
    <mergeCell ref="J23:N23"/>
    <mergeCell ref="J24:N24"/>
    <mergeCell ref="J25:N25"/>
    <mergeCell ref="J26:N26"/>
    <mergeCell ref="B14:D14"/>
    <mergeCell ref="A16:N16"/>
    <mergeCell ref="A17:N19"/>
    <mergeCell ref="A21:G21"/>
    <mergeCell ref="I21:N21"/>
    <mergeCell ref="B11:D11"/>
    <mergeCell ref="F11:H11"/>
    <mergeCell ref="I11:K11"/>
    <mergeCell ref="L11:N11"/>
    <mergeCell ref="B12:D12"/>
    <mergeCell ref="F12:H13"/>
    <mergeCell ref="I12:K13"/>
    <mergeCell ref="L12:N13"/>
    <mergeCell ref="B13:D13"/>
    <mergeCell ref="B9:D9"/>
    <mergeCell ref="F9:H10"/>
    <mergeCell ref="I9:K10"/>
    <mergeCell ref="L9:N10"/>
    <mergeCell ref="B10:D10"/>
    <mergeCell ref="A1:N1"/>
    <mergeCell ref="A2:N2"/>
    <mergeCell ref="A4:N6"/>
    <mergeCell ref="A8:D8"/>
    <mergeCell ref="F8:H8"/>
    <mergeCell ref="I8:K8"/>
    <mergeCell ref="L8:N8"/>
  </mergeCells>
  <conditionalFormatting sqref="J28">
    <cfRule type="expression" dxfId="96" priority="2">
      <formula>$J28="Green"</formula>
    </cfRule>
    <cfRule type="expression" dxfId="95" priority="3">
      <formula>$J28="Amber"</formula>
    </cfRule>
    <cfRule type="expression" dxfId="94" priority="4">
      <formula>$J28="Red"</formula>
    </cfRule>
  </conditionalFormatting>
  <hyperlinks>
    <hyperlink ref="A3" r:id="rId1" location="'Start%20Here'!A1" xr:uid="{00000000-0004-0000-0300-000000000000}"/>
    <hyperlink ref="B3" r:id="rId2" location="'UAT%20Overview'!A1" xr:uid="{00000000-0004-0000-0300-000001000000}"/>
    <hyperlink ref="C3" r:id="rId3" location="'Executive%20Dashboard'!A1" xr:uid="{00000000-0004-0000-0300-000002000000}"/>
    <hyperlink ref="D3" r:id="rId4" location="'Operational%20Dashboard'!A1" xr:uid="{00000000-0004-0000-0300-000003000000}"/>
    <hyperlink ref="E3" r:id="rId5" location="'Readiness%20Checklist'!A1" xr:uid="{00000000-0004-0000-0300-000004000000}"/>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5"/>
  <sheetViews>
    <sheetView showGridLines="0" topLeftCell="A28" zoomScaleNormal="100" workbookViewId="0">
      <selection activeCell="C22" sqref="C22"/>
    </sheetView>
  </sheetViews>
  <sheetFormatPr defaultColWidth="8.7109375" defaultRowHeight="15" customHeight="1" x14ac:dyDescent="0.25"/>
  <cols>
    <col min="1" max="14" width="16" customWidth="1"/>
  </cols>
  <sheetData>
    <row r="1" spans="1:14" ht="25.5" customHeight="1" x14ac:dyDescent="0.25">
      <c r="A1" s="12" t="str">
        <f>'Branding &amp; Setup'!$B$9 &amp; " | Executive Dashboard"</f>
        <v>Northbridge Citizens Services | Executive Dashboard</v>
      </c>
      <c r="B1" s="12"/>
      <c r="C1" s="12"/>
      <c r="D1" s="12"/>
      <c r="E1" s="12"/>
      <c r="F1" s="12"/>
      <c r="G1" s="12"/>
      <c r="H1" s="12"/>
      <c r="I1" s="12"/>
      <c r="J1" s="12"/>
      <c r="K1" s="12"/>
      <c r="L1" s="12"/>
      <c r="M1" s="12"/>
      <c r="N1" s="12"/>
    </row>
    <row r="2" spans="1:14"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row>
    <row r="3" spans="1:14" ht="18" customHeight="1" x14ac:dyDescent="0.25">
      <c r="A3" s="13" t="s">
        <v>0</v>
      </c>
      <c r="B3" s="13" t="s">
        <v>1</v>
      </c>
      <c r="C3" s="13" t="s">
        <v>2</v>
      </c>
      <c r="D3" s="13" t="s">
        <v>3</v>
      </c>
      <c r="E3" s="13" t="s">
        <v>4</v>
      </c>
    </row>
    <row r="4" spans="1:14" ht="18" customHeight="1" x14ac:dyDescent="0.25">
      <c r="A4" s="10" t="s">
        <v>181</v>
      </c>
      <c r="B4" s="10"/>
      <c r="C4" s="10"/>
      <c r="D4" s="10"/>
      <c r="E4" s="10"/>
      <c r="F4" s="10"/>
      <c r="G4" s="10"/>
      <c r="H4" s="10"/>
      <c r="I4" s="10"/>
      <c r="J4" s="10"/>
      <c r="K4" s="10"/>
      <c r="L4" s="10"/>
      <c r="M4" s="10"/>
      <c r="N4" s="10"/>
    </row>
    <row r="5" spans="1:14" ht="18" customHeight="1" x14ac:dyDescent="0.25">
      <c r="A5" s="10"/>
      <c r="B5" s="10"/>
      <c r="C5" s="10"/>
      <c r="D5" s="10"/>
      <c r="E5" s="10"/>
      <c r="F5" s="10"/>
      <c r="G5" s="10"/>
      <c r="H5" s="10"/>
      <c r="I5" s="10"/>
      <c r="J5" s="10"/>
      <c r="K5" s="10"/>
      <c r="L5" s="10"/>
      <c r="M5" s="10"/>
      <c r="N5" s="10"/>
    </row>
    <row r="6" spans="1:14" ht="18" customHeight="1" x14ac:dyDescent="0.25">
      <c r="A6" s="10"/>
      <c r="B6" s="10"/>
      <c r="C6" s="10"/>
      <c r="D6" s="10"/>
      <c r="E6" s="10"/>
      <c r="F6" s="10"/>
      <c r="G6" s="10"/>
      <c r="H6" s="10"/>
      <c r="I6" s="10"/>
      <c r="J6" s="10"/>
      <c r="K6" s="10"/>
      <c r="L6" s="10"/>
      <c r="M6" s="10"/>
      <c r="N6" s="10"/>
    </row>
    <row r="8" spans="1:14" ht="15" customHeight="1" x14ac:dyDescent="0.25">
      <c r="A8" s="5" t="s">
        <v>134</v>
      </c>
      <c r="B8" s="5"/>
      <c r="C8" s="5"/>
      <c r="D8" s="4" t="s">
        <v>135</v>
      </c>
      <c r="E8" s="4"/>
      <c r="F8" s="4"/>
      <c r="G8" s="31" t="s">
        <v>140</v>
      </c>
      <c r="H8" s="31"/>
      <c r="I8" s="31"/>
      <c r="J8" s="32" t="s">
        <v>141</v>
      </c>
      <c r="K8" s="32"/>
      <c r="L8" s="32"/>
      <c r="M8" s="3" t="s">
        <v>136</v>
      </c>
      <c r="N8" s="3"/>
    </row>
    <row r="9" spans="1:14" x14ac:dyDescent="0.25">
      <c r="A9" s="1">
        <f>'Dashboard Data'!$B$1</f>
        <v>0.59649122807017541</v>
      </c>
      <c r="B9" s="1"/>
      <c r="C9" s="1"/>
      <c r="D9" s="29">
        <f>'Dashboard Data'!$B$2</f>
        <v>0.8</v>
      </c>
      <c r="E9" s="29"/>
      <c r="F9" s="29"/>
      <c r="G9" s="35">
        <f>'Dashboard Data'!$B$3</f>
        <v>0.6</v>
      </c>
      <c r="H9" s="35"/>
      <c r="I9" s="35"/>
      <c r="J9" s="36">
        <f>'Dashboard Data'!$B$5</f>
        <v>5</v>
      </c>
      <c r="K9" s="36"/>
      <c r="L9" s="36"/>
      <c r="M9" s="30">
        <f>'Dashboard Data'!$B$7</f>
        <v>0.375</v>
      </c>
      <c r="N9" s="30"/>
    </row>
    <row r="10" spans="1:14" x14ac:dyDescent="0.25">
      <c r="A10" s="1"/>
      <c r="B10" s="1"/>
      <c r="C10" s="1"/>
      <c r="D10" s="29"/>
      <c r="E10" s="29"/>
      <c r="F10" s="29"/>
      <c r="G10" s="35"/>
      <c r="H10" s="35"/>
      <c r="I10" s="35"/>
      <c r="J10" s="36"/>
      <c r="K10" s="36"/>
      <c r="L10" s="36"/>
      <c r="M10" s="30"/>
      <c r="N10" s="30"/>
    </row>
    <row r="11" spans="1:14" ht="15" customHeight="1" x14ac:dyDescent="0.25">
      <c r="A11" s="3" t="s">
        <v>182</v>
      </c>
      <c r="B11" s="3"/>
      <c r="C11" s="3"/>
      <c r="D11" s="33" t="s">
        <v>142</v>
      </c>
      <c r="E11" s="33"/>
      <c r="F11" s="33"/>
      <c r="G11" s="32" t="s">
        <v>183</v>
      </c>
      <c r="H11" s="32"/>
      <c r="I11" s="32"/>
      <c r="J11" s="4" t="s">
        <v>184</v>
      </c>
      <c r="K11" s="4"/>
      <c r="L11" s="4"/>
      <c r="M11" s="38" t="s">
        <v>185</v>
      </c>
      <c r="N11" s="38"/>
    </row>
    <row r="12" spans="1:14" x14ac:dyDescent="0.25">
      <c r="A12" s="39">
        <f>'Dashboard Data'!$B$6</f>
        <v>6</v>
      </c>
      <c r="B12" s="39"/>
      <c r="C12" s="39"/>
      <c r="D12" s="37">
        <f>'Dashboard Data'!$B$8</f>
        <v>6</v>
      </c>
      <c r="E12" s="37"/>
      <c r="F12" s="37"/>
      <c r="G12" s="36">
        <f>'Dashboard Data'!$B$9</f>
        <v>8</v>
      </c>
      <c r="H12" s="36"/>
      <c r="I12" s="36"/>
      <c r="J12" s="29">
        <f>'Dashboard Data'!$B$10</f>
        <v>0.88235294117647056</v>
      </c>
      <c r="K12" s="29"/>
      <c r="L12" s="29"/>
      <c r="M12" s="40">
        <f>'Dashboard Data'!$B$13</f>
        <v>3</v>
      </c>
      <c r="N12" s="40"/>
    </row>
    <row r="13" spans="1:14" x14ac:dyDescent="0.25">
      <c r="A13" s="39"/>
      <c r="B13" s="39"/>
      <c r="C13" s="39"/>
      <c r="D13" s="37"/>
      <c r="E13" s="37"/>
      <c r="F13" s="37"/>
      <c r="G13" s="36"/>
      <c r="H13" s="36"/>
      <c r="I13" s="36"/>
      <c r="J13" s="29"/>
      <c r="K13" s="29"/>
      <c r="L13" s="29"/>
      <c r="M13" s="40"/>
      <c r="N13" s="40"/>
    </row>
    <row r="15" spans="1:14" ht="15" customHeight="1" x14ac:dyDescent="0.25">
      <c r="A15" s="9" t="s">
        <v>186</v>
      </c>
      <c r="B15" s="9"/>
      <c r="C15" s="9"/>
      <c r="D15" s="9"/>
      <c r="E15" s="9"/>
      <c r="F15" s="9"/>
      <c r="G15" s="9"/>
      <c r="H15" s="9"/>
      <c r="I15" s="9"/>
      <c r="J15" s="9"/>
      <c r="K15" s="9"/>
      <c r="L15" s="9"/>
      <c r="M15" s="9"/>
      <c r="N15" s="9"/>
    </row>
    <row r="16" spans="1:14" ht="15" customHeight="1" x14ac:dyDescent="0.25">
      <c r="A16" s="10" t="s">
        <v>187</v>
      </c>
      <c r="B16" s="10"/>
      <c r="C16" s="10"/>
      <c r="D16" s="10"/>
      <c r="E16" s="10"/>
      <c r="F16" s="10"/>
      <c r="G16" s="10"/>
      <c r="H16" s="10"/>
      <c r="I16" s="10"/>
      <c r="J16" s="10"/>
      <c r="K16" s="10"/>
      <c r="L16" s="10"/>
      <c r="M16" s="10"/>
      <c r="N16" s="10"/>
    </row>
    <row r="17" spans="1:14" x14ac:dyDescent="0.25">
      <c r="A17" s="10"/>
      <c r="B17" s="10"/>
      <c r="C17" s="10"/>
      <c r="D17" s="10"/>
      <c r="E17" s="10"/>
      <c r="F17" s="10"/>
      <c r="G17" s="10"/>
      <c r="H17" s="10"/>
      <c r="I17" s="10"/>
      <c r="J17" s="10"/>
      <c r="K17" s="10"/>
      <c r="L17" s="10"/>
      <c r="M17" s="10"/>
      <c r="N17" s="10"/>
    </row>
    <row r="18" spans="1:14" x14ac:dyDescent="0.25">
      <c r="A18" s="10"/>
      <c r="B18" s="10"/>
      <c r="C18" s="10"/>
      <c r="D18" s="10"/>
      <c r="E18" s="10"/>
      <c r="F18" s="10"/>
      <c r="G18" s="10"/>
      <c r="H18" s="10"/>
      <c r="I18" s="10"/>
      <c r="J18" s="10"/>
      <c r="K18" s="10"/>
      <c r="L18" s="10"/>
      <c r="M18" s="10"/>
      <c r="N18" s="10"/>
    </row>
    <row r="52" spans="1:14" ht="15" customHeight="1" x14ac:dyDescent="0.25">
      <c r="A52" s="9" t="s">
        <v>188</v>
      </c>
      <c r="B52" s="9"/>
      <c r="C52" s="9"/>
      <c r="D52" s="9"/>
      <c r="E52" s="9"/>
      <c r="F52" s="9"/>
      <c r="G52" s="9"/>
      <c r="H52" s="9"/>
      <c r="I52" s="9"/>
      <c r="J52" s="9"/>
      <c r="K52" s="9"/>
      <c r="L52" s="9"/>
      <c r="M52" s="9"/>
      <c r="N52" s="9"/>
    </row>
    <row r="53" spans="1:14" ht="15" customHeight="1" x14ac:dyDescent="0.25">
      <c r="A53" s="10" t="s">
        <v>189</v>
      </c>
      <c r="B53" s="10"/>
      <c r="C53" s="10"/>
      <c r="D53" s="10"/>
      <c r="E53" s="10"/>
      <c r="F53" s="10"/>
      <c r="G53" s="10"/>
      <c r="H53" s="10"/>
      <c r="I53" s="10"/>
      <c r="J53" s="10"/>
      <c r="K53" s="10"/>
      <c r="L53" s="10"/>
      <c r="M53" s="10"/>
      <c r="N53" s="10"/>
    </row>
    <row r="54" spans="1:14" x14ac:dyDescent="0.25">
      <c r="A54" s="10"/>
      <c r="B54" s="10"/>
      <c r="C54" s="10"/>
      <c r="D54" s="10"/>
      <c r="E54" s="10"/>
      <c r="F54" s="10"/>
      <c r="G54" s="10"/>
      <c r="H54" s="10"/>
      <c r="I54" s="10"/>
      <c r="J54" s="10"/>
      <c r="K54" s="10"/>
      <c r="L54" s="10"/>
      <c r="M54" s="10"/>
      <c r="N54" s="10"/>
    </row>
    <row r="55" spans="1:14" x14ac:dyDescent="0.25">
      <c r="A55" s="10"/>
      <c r="B55" s="10"/>
      <c r="C55" s="10"/>
      <c r="D55" s="10"/>
      <c r="E55" s="10"/>
      <c r="F55" s="10"/>
      <c r="G55" s="10"/>
      <c r="H55" s="10"/>
      <c r="I55" s="10"/>
      <c r="J55" s="10"/>
      <c r="K55" s="10"/>
      <c r="L55" s="10"/>
      <c r="M55" s="10"/>
      <c r="N55" s="10"/>
    </row>
  </sheetData>
  <mergeCells count="27">
    <mergeCell ref="A15:N15"/>
    <mergeCell ref="A16:N18"/>
    <mergeCell ref="A52:N52"/>
    <mergeCell ref="A53:N55"/>
    <mergeCell ref="A12:C13"/>
    <mergeCell ref="D12:F13"/>
    <mergeCell ref="G12:I13"/>
    <mergeCell ref="J12:L13"/>
    <mergeCell ref="M12:N13"/>
    <mergeCell ref="A11:C11"/>
    <mergeCell ref="D11:F11"/>
    <mergeCell ref="G11:I11"/>
    <mergeCell ref="J11:L11"/>
    <mergeCell ref="M11:N11"/>
    <mergeCell ref="A9:C10"/>
    <mergeCell ref="D9:F10"/>
    <mergeCell ref="G9:I10"/>
    <mergeCell ref="J9:L10"/>
    <mergeCell ref="M9:N10"/>
    <mergeCell ref="A1:N1"/>
    <mergeCell ref="A2:N2"/>
    <mergeCell ref="A4:N6"/>
    <mergeCell ref="A8:C8"/>
    <mergeCell ref="D8:F8"/>
    <mergeCell ref="G8:I8"/>
    <mergeCell ref="J8:L8"/>
    <mergeCell ref="M8:N8"/>
  </mergeCells>
  <hyperlinks>
    <hyperlink ref="A3" r:id="rId1" location="'Start%20Here'!A1" xr:uid="{00000000-0004-0000-0400-000000000000}"/>
    <hyperlink ref="B3" r:id="rId2" location="'UAT%20Overview'!A1" xr:uid="{00000000-0004-0000-0400-000001000000}"/>
    <hyperlink ref="C3" r:id="rId3" location="'Executive%20Dashboard'!A1" xr:uid="{00000000-0004-0000-0400-000002000000}"/>
    <hyperlink ref="D3" r:id="rId4" location="'Operational%20Dashboard'!A1" xr:uid="{00000000-0004-0000-0400-000003000000}"/>
    <hyperlink ref="E3" r:id="rId5" location="'Readiness%20Checklist'!A1" xr:uid="{00000000-0004-0000-0400-000004000000}"/>
  </hyperlinks>
  <pageMargins left="0.75" right="0.75" top="1" bottom="1" header="0.511811023622047" footer="0.511811023622047"/>
  <pageSetup paperSize="9" orientation="portrait" horizontalDpi="300" verticalDpi="300"/>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6"/>
  <sheetViews>
    <sheetView showGridLines="0" topLeftCell="A22" zoomScaleNormal="100" workbookViewId="0">
      <selection activeCell="L42" sqref="L42"/>
    </sheetView>
  </sheetViews>
  <sheetFormatPr defaultColWidth="8.7109375" defaultRowHeight="15" customHeight="1" x14ac:dyDescent="0.25"/>
  <cols>
    <col min="1" max="14" width="16" customWidth="1"/>
  </cols>
  <sheetData>
    <row r="1" spans="1:14" ht="25.5" customHeight="1" x14ac:dyDescent="0.25">
      <c r="A1" s="12" t="str">
        <f>'Branding &amp; Setup'!$B$9 &amp; " | Operational Dashboard"</f>
        <v>Northbridge Citizens Services | Operational Dashboard</v>
      </c>
      <c r="B1" s="12"/>
      <c r="C1" s="12"/>
      <c r="D1" s="12"/>
      <c r="E1" s="12"/>
      <c r="F1" s="12"/>
      <c r="G1" s="12"/>
      <c r="H1" s="12"/>
      <c r="I1" s="12"/>
      <c r="J1" s="12"/>
      <c r="K1" s="12"/>
      <c r="L1" s="12"/>
      <c r="M1" s="12"/>
      <c r="N1" s="12"/>
    </row>
    <row r="2" spans="1:14"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row>
    <row r="3" spans="1:14" ht="18" customHeight="1" x14ac:dyDescent="0.25">
      <c r="A3" s="13" t="s">
        <v>0</v>
      </c>
      <c r="B3" s="13" t="s">
        <v>1</v>
      </c>
      <c r="C3" s="13" t="s">
        <v>2</v>
      </c>
      <c r="D3" s="13" t="s">
        <v>3</v>
      </c>
      <c r="E3" s="13" t="s">
        <v>4</v>
      </c>
    </row>
    <row r="4" spans="1:14" ht="18" customHeight="1" x14ac:dyDescent="0.25">
      <c r="A4" s="10" t="s">
        <v>190</v>
      </c>
      <c r="B4" s="10"/>
      <c r="C4" s="10"/>
      <c r="D4" s="10"/>
      <c r="E4" s="10"/>
      <c r="F4" s="10"/>
      <c r="G4" s="10"/>
      <c r="H4" s="10"/>
      <c r="I4" s="10"/>
      <c r="J4" s="10"/>
      <c r="K4" s="10"/>
      <c r="L4" s="10"/>
      <c r="M4" s="10"/>
      <c r="N4" s="10"/>
    </row>
    <row r="5" spans="1:14" ht="18" customHeight="1" x14ac:dyDescent="0.25">
      <c r="A5" s="10"/>
      <c r="B5" s="10"/>
      <c r="C5" s="10"/>
      <c r="D5" s="10"/>
      <c r="E5" s="10"/>
      <c r="F5" s="10"/>
      <c r="G5" s="10"/>
      <c r="H5" s="10"/>
      <c r="I5" s="10"/>
      <c r="J5" s="10"/>
      <c r="K5" s="10"/>
      <c r="L5" s="10"/>
      <c r="M5" s="10"/>
      <c r="N5" s="10"/>
    </row>
    <row r="6" spans="1:14" ht="18" customHeight="1" x14ac:dyDescent="0.25">
      <c r="A6" s="10"/>
      <c r="B6" s="10"/>
      <c r="C6" s="10"/>
      <c r="D6" s="10"/>
      <c r="E6" s="10"/>
      <c r="F6" s="10"/>
      <c r="G6" s="10"/>
      <c r="H6" s="10"/>
      <c r="I6" s="10"/>
      <c r="J6" s="10"/>
      <c r="K6" s="10"/>
      <c r="L6" s="10"/>
      <c r="M6" s="10"/>
      <c r="N6" s="10"/>
    </row>
    <row r="8" spans="1:14" ht="15" customHeight="1" x14ac:dyDescent="0.25">
      <c r="A8" s="38" t="s">
        <v>191</v>
      </c>
      <c r="B8" s="38"/>
      <c r="C8" s="38"/>
      <c r="D8" s="4" t="s">
        <v>192</v>
      </c>
      <c r="E8" s="4"/>
      <c r="F8" s="4"/>
      <c r="G8" s="31" t="s">
        <v>193</v>
      </c>
      <c r="H8" s="31"/>
      <c r="I8" s="31"/>
      <c r="J8" s="3" t="s">
        <v>194</v>
      </c>
      <c r="K8" s="3"/>
      <c r="L8" s="3"/>
      <c r="M8" s="32" t="s">
        <v>185</v>
      </c>
      <c r="N8" s="32"/>
    </row>
    <row r="9" spans="1:14" x14ac:dyDescent="0.25">
      <c r="A9" s="40">
        <f>'Dashboard Data'!$B$15</f>
        <v>80</v>
      </c>
      <c r="B9" s="40"/>
      <c r="C9" s="40"/>
      <c r="D9" s="41">
        <f>'Dashboard Data'!$B$16</f>
        <v>64</v>
      </c>
      <c r="E9" s="41"/>
      <c r="F9" s="41"/>
      <c r="G9" s="42">
        <f>'Dashboard Data'!$B$17</f>
        <v>150</v>
      </c>
      <c r="H9" s="42"/>
      <c r="I9" s="42"/>
      <c r="J9" s="39">
        <f>'Dashboard Data'!$B$22</f>
        <v>6</v>
      </c>
      <c r="K9" s="39"/>
      <c r="L9" s="39"/>
      <c r="M9" s="36">
        <f>'Dashboard Data'!$B$13</f>
        <v>3</v>
      </c>
      <c r="N9" s="36"/>
    </row>
    <row r="10" spans="1:14" x14ac:dyDescent="0.25">
      <c r="A10" s="40"/>
      <c r="B10" s="40"/>
      <c r="C10" s="40"/>
      <c r="D10" s="41"/>
      <c r="E10" s="41"/>
      <c r="F10" s="41"/>
      <c r="G10" s="42"/>
      <c r="H10" s="42"/>
      <c r="I10" s="42"/>
      <c r="J10" s="39"/>
      <c r="K10" s="39"/>
      <c r="L10" s="39"/>
      <c r="M10" s="36"/>
      <c r="N10" s="36"/>
    </row>
    <row r="11" spans="1:14" ht="15" customHeight="1" x14ac:dyDescent="0.25">
      <c r="A11" s="5" t="s">
        <v>195</v>
      </c>
      <c r="B11" s="5"/>
      <c r="C11" s="5"/>
      <c r="D11" s="32" t="s">
        <v>196</v>
      </c>
      <c r="E11" s="32"/>
      <c r="F11" s="32"/>
      <c r="G11" s="3" t="s">
        <v>197</v>
      </c>
      <c r="H11" s="3"/>
      <c r="I11" s="3"/>
      <c r="J11" s="38" t="s">
        <v>198</v>
      </c>
      <c r="K11" s="38"/>
      <c r="L11" s="38"/>
      <c r="M11" s="33" t="s">
        <v>199</v>
      </c>
      <c r="N11" s="33"/>
    </row>
    <row r="12" spans="1:14" x14ac:dyDescent="0.25">
      <c r="A12" s="43">
        <f>'Dashboard Data'!$B$18</f>
        <v>90</v>
      </c>
      <c r="B12" s="43"/>
      <c r="C12" s="43"/>
      <c r="D12" s="36">
        <f>'Dashboard Data'!$B$19</f>
        <v>28</v>
      </c>
      <c r="E12" s="36"/>
      <c r="F12" s="36"/>
      <c r="G12" s="39">
        <f>'Dashboard Data'!$B$20</f>
        <v>17</v>
      </c>
      <c r="H12" s="39"/>
      <c r="I12" s="39"/>
      <c r="J12" s="40">
        <f>'Dashboard Data'!$B$21</f>
        <v>15</v>
      </c>
      <c r="K12" s="40"/>
      <c r="L12" s="40"/>
      <c r="M12" s="37">
        <f>'Dashboard Data'!$B$12</f>
        <v>6</v>
      </c>
      <c r="N12" s="37"/>
    </row>
    <row r="13" spans="1:14" x14ac:dyDescent="0.25">
      <c r="A13" s="43"/>
      <c r="B13" s="43"/>
      <c r="C13" s="43"/>
      <c r="D13" s="36"/>
      <c r="E13" s="36"/>
      <c r="F13" s="36"/>
      <c r="G13" s="39"/>
      <c r="H13" s="39"/>
      <c r="I13" s="39"/>
      <c r="J13" s="40"/>
      <c r="K13" s="40"/>
      <c r="L13" s="40"/>
      <c r="M13" s="37"/>
      <c r="N13" s="37"/>
    </row>
    <row r="15" spans="1:14" ht="15" customHeight="1" x14ac:dyDescent="0.25">
      <c r="A15" s="9" t="s">
        <v>200</v>
      </c>
      <c r="B15" s="9"/>
      <c r="C15" s="9"/>
      <c r="D15" s="9"/>
      <c r="E15" s="9"/>
      <c r="F15" s="9"/>
      <c r="G15" s="9"/>
      <c r="H15" s="9"/>
      <c r="I15" s="9"/>
      <c r="J15" s="9"/>
      <c r="K15" s="9"/>
      <c r="L15" s="9"/>
      <c r="M15" s="9"/>
      <c r="N15" s="9"/>
    </row>
    <row r="16" spans="1:14" ht="15" customHeight="1" x14ac:dyDescent="0.25">
      <c r="A16" s="10" t="s">
        <v>201</v>
      </c>
      <c r="B16" s="10"/>
      <c r="C16" s="10"/>
      <c r="D16" s="10"/>
      <c r="E16" s="10"/>
      <c r="F16" s="10"/>
      <c r="G16" s="10"/>
      <c r="H16" s="10"/>
      <c r="I16" s="10"/>
      <c r="J16" s="10"/>
      <c r="K16" s="10"/>
      <c r="L16" s="10"/>
      <c r="M16" s="10"/>
      <c r="N16" s="10"/>
    </row>
    <row r="17" spans="1:14" x14ac:dyDescent="0.25">
      <c r="A17" s="10"/>
      <c r="B17" s="10"/>
      <c r="C17" s="10"/>
      <c r="D17" s="10"/>
      <c r="E17" s="10"/>
      <c r="F17" s="10"/>
      <c r="G17" s="10"/>
      <c r="H17" s="10"/>
      <c r="I17" s="10"/>
      <c r="J17" s="10"/>
      <c r="K17" s="10"/>
      <c r="L17" s="10"/>
      <c r="M17" s="10"/>
      <c r="N17" s="10"/>
    </row>
    <row r="18" spans="1:14" x14ac:dyDescent="0.25">
      <c r="A18" s="10"/>
      <c r="B18" s="10"/>
      <c r="C18" s="10"/>
      <c r="D18" s="10"/>
      <c r="E18" s="10"/>
      <c r="F18" s="10"/>
      <c r="G18" s="10"/>
      <c r="H18" s="10"/>
      <c r="I18" s="10"/>
      <c r="J18" s="10"/>
      <c r="K18" s="10"/>
      <c r="L18" s="10"/>
      <c r="M18" s="10"/>
      <c r="N18" s="10"/>
    </row>
    <row r="52" spans="1:14" ht="15" customHeight="1" x14ac:dyDescent="0.25">
      <c r="A52" s="9" t="s">
        <v>202</v>
      </c>
      <c r="B52" s="9"/>
      <c r="C52" s="9"/>
      <c r="D52" s="9"/>
      <c r="E52" s="9"/>
      <c r="F52" s="9"/>
      <c r="G52" s="9"/>
      <c r="H52" s="9"/>
      <c r="I52" s="9"/>
      <c r="J52" s="9"/>
      <c r="K52" s="9"/>
      <c r="L52" s="9"/>
      <c r="M52" s="9"/>
      <c r="N52" s="9"/>
    </row>
    <row r="53" spans="1:14" ht="15" customHeight="1" x14ac:dyDescent="0.25">
      <c r="A53" s="10" t="s">
        <v>203</v>
      </c>
      <c r="B53" s="10"/>
      <c r="C53" s="10"/>
      <c r="D53" s="10"/>
      <c r="E53" s="10"/>
      <c r="F53" s="10"/>
      <c r="G53" s="10"/>
      <c r="H53" s="10"/>
      <c r="I53" s="10"/>
      <c r="J53" s="10"/>
      <c r="K53" s="10"/>
      <c r="L53" s="10"/>
      <c r="M53" s="10"/>
      <c r="N53" s="10"/>
    </row>
    <row r="54" spans="1:14" x14ac:dyDescent="0.25">
      <c r="A54" s="10"/>
      <c r="B54" s="10"/>
      <c r="C54" s="10"/>
      <c r="D54" s="10"/>
      <c r="E54" s="10"/>
      <c r="F54" s="10"/>
      <c r="G54" s="10"/>
      <c r="H54" s="10"/>
      <c r="I54" s="10"/>
      <c r="J54" s="10"/>
      <c r="K54" s="10"/>
      <c r="L54" s="10"/>
      <c r="M54" s="10"/>
      <c r="N54" s="10"/>
    </row>
    <row r="55" spans="1:14" x14ac:dyDescent="0.25">
      <c r="A55" s="10"/>
      <c r="B55" s="10"/>
      <c r="C55" s="10"/>
      <c r="D55" s="10"/>
      <c r="E55" s="10"/>
      <c r="F55" s="10"/>
      <c r="G55" s="10"/>
      <c r="H55" s="10"/>
      <c r="I55" s="10"/>
      <c r="J55" s="10"/>
      <c r="K55" s="10"/>
      <c r="L55" s="10"/>
      <c r="M55" s="10"/>
      <c r="N55" s="10"/>
    </row>
    <row r="56" spans="1:14" x14ac:dyDescent="0.25">
      <c r="A56" s="10"/>
      <c r="B56" s="10"/>
      <c r="C56" s="10"/>
      <c r="D56" s="10"/>
      <c r="E56" s="10"/>
      <c r="F56" s="10"/>
      <c r="G56" s="10"/>
      <c r="H56" s="10"/>
      <c r="I56" s="10"/>
      <c r="J56" s="10"/>
      <c r="K56" s="10"/>
      <c r="L56" s="10"/>
      <c r="M56" s="10"/>
      <c r="N56" s="10"/>
    </row>
  </sheetData>
  <mergeCells count="27">
    <mergeCell ref="A15:N15"/>
    <mergeCell ref="A16:N18"/>
    <mergeCell ref="A52:N52"/>
    <mergeCell ref="A53:N56"/>
    <mergeCell ref="A12:C13"/>
    <mergeCell ref="D12:F13"/>
    <mergeCell ref="G12:I13"/>
    <mergeCell ref="J12:L13"/>
    <mergeCell ref="M12:N13"/>
    <mergeCell ref="A11:C11"/>
    <mergeCell ref="D11:F11"/>
    <mergeCell ref="G11:I11"/>
    <mergeCell ref="J11:L11"/>
    <mergeCell ref="M11:N11"/>
    <mergeCell ref="A9:C10"/>
    <mergeCell ref="D9:F10"/>
    <mergeCell ref="G9:I10"/>
    <mergeCell ref="J9:L10"/>
    <mergeCell ref="M9:N10"/>
    <mergeCell ref="A1:N1"/>
    <mergeCell ref="A2:N2"/>
    <mergeCell ref="A4:N6"/>
    <mergeCell ref="A8:C8"/>
    <mergeCell ref="D8:F8"/>
    <mergeCell ref="G8:I8"/>
    <mergeCell ref="J8:L8"/>
    <mergeCell ref="M8:N8"/>
  </mergeCells>
  <hyperlinks>
    <hyperlink ref="A3" r:id="rId1" location="'Start%20Here'!A1" xr:uid="{00000000-0004-0000-0500-000000000000}"/>
    <hyperlink ref="B3" r:id="rId2" location="'UAT%20Overview'!A1" xr:uid="{00000000-0004-0000-0500-000001000000}"/>
    <hyperlink ref="C3" r:id="rId3" location="'Executive%20Dashboard'!A1" xr:uid="{00000000-0004-0000-0500-000002000000}"/>
    <hyperlink ref="D3" r:id="rId4" location="'Operational%20Dashboard'!A1" xr:uid="{00000000-0004-0000-0500-000003000000}"/>
    <hyperlink ref="E3" r:id="rId5" location="'Readiness%20Checklist'!A1" xr:uid="{00000000-0004-0000-0500-000004000000}"/>
  </hyperlinks>
  <pageMargins left="0.75" right="0.75" top="1" bottom="1" header="0.511811023622047" footer="0.511811023622047"/>
  <pageSetup paperSize="9" orientation="portrait" horizontalDpi="300" verticalDpi="300"/>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6"/>
  <sheetViews>
    <sheetView showGridLines="0" topLeftCell="A19" zoomScaleNormal="100" workbookViewId="0">
      <selection activeCell="F47" sqref="F47"/>
    </sheetView>
  </sheetViews>
  <sheetFormatPr defaultColWidth="8.7109375" defaultRowHeight="15" customHeight="1" x14ac:dyDescent="0.25"/>
  <cols>
    <col min="1" max="14" width="16" customWidth="1"/>
  </cols>
  <sheetData>
    <row r="1" spans="1:14" ht="25.5" customHeight="1" x14ac:dyDescent="0.25">
      <c r="A1" s="12" t="str">
        <f>'Branding &amp; Setup'!$B$9 &amp; " | Defect &amp; Quality Dashboard"</f>
        <v>Northbridge Citizens Services | Defect &amp; Quality Dashboard</v>
      </c>
      <c r="B1" s="12"/>
      <c r="C1" s="12"/>
      <c r="D1" s="12"/>
      <c r="E1" s="12"/>
      <c r="F1" s="12"/>
      <c r="G1" s="12"/>
      <c r="H1" s="12"/>
      <c r="I1" s="12"/>
      <c r="J1" s="12"/>
      <c r="K1" s="12"/>
      <c r="L1" s="12"/>
      <c r="M1" s="12"/>
      <c r="N1" s="12"/>
    </row>
    <row r="2" spans="1:14"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row>
    <row r="3" spans="1:14" ht="18" customHeight="1" x14ac:dyDescent="0.25">
      <c r="A3" s="13" t="s">
        <v>0</v>
      </c>
      <c r="B3" s="13" t="s">
        <v>1</v>
      </c>
      <c r="C3" s="13" t="s">
        <v>2</v>
      </c>
      <c r="D3" s="13" t="s">
        <v>3</v>
      </c>
      <c r="E3" s="13" t="s">
        <v>4</v>
      </c>
    </row>
    <row r="4" spans="1:14" ht="18" customHeight="1" x14ac:dyDescent="0.25">
      <c r="A4" s="10" t="s">
        <v>204</v>
      </c>
      <c r="B4" s="10"/>
      <c r="C4" s="10"/>
      <c r="D4" s="10"/>
      <c r="E4" s="10"/>
      <c r="F4" s="10"/>
      <c r="G4" s="10"/>
      <c r="H4" s="10"/>
      <c r="I4" s="10"/>
      <c r="J4" s="10"/>
      <c r="K4" s="10"/>
      <c r="L4" s="10"/>
      <c r="M4" s="10"/>
      <c r="N4" s="10"/>
    </row>
    <row r="5" spans="1:14" ht="18" customHeight="1" x14ac:dyDescent="0.25">
      <c r="A5" s="10"/>
      <c r="B5" s="10"/>
      <c r="C5" s="10"/>
      <c r="D5" s="10"/>
      <c r="E5" s="10"/>
      <c r="F5" s="10"/>
      <c r="G5" s="10"/>
      <c r="H5" s="10"/>
      <c r="I5" s="10"/>
      <c r="J5" s="10"/>
      <c r="K5" s="10"/>
      <c r="L5" s="10"/>
      <c r="M5" s="10"/>
      <c r="N5" s="10"/>
    </row>
    <row r="6" spans="1:14" ht="18" customHeight="1" x14ac:dyDescent="0.25">
      <c r="A6" s="10"/>
      <c r="B6" s="10"/>
      <c r="C6" s="10"/>
      <c r="D6" s="10"/>
      <c r="E6" s="10"/>
      <c r="F6" s="10"/>
      <c r="G6" s="10"/>
      <c r="H6" s="10"/>
      <c r="I6" s="10"/>
      <c r="J6" s="10"/>
      <c r="K6" s="10"/>
      <c r="L6" s="10"/>
      <c r="M6" s="10"/>
      <c r="N6" s="10"/>
    </row>
    <row r="8" spans="1:14" ht="15" customHeight="1" x14ac:dyDescent="0.25">
      <c r="A8" s="32" t="s">
        <v>205</v>
      </c>
      <c r="B8" s="32"/>
      <c r="C8" s="32"/>
      <c r="D8" s="32" t="s">
        <v>206</v>
      </c>
      <c r="E8" s="32"/>
      <c r="F8" s="32"/>
      <c r="G8" s="3" t="s">
        <v>207</v>
      </c>
      <c r="H8" s="3"/>
      <c r="I8" s="3"/>
      <c r="J8" s="3" t="s">
        <v>208</v>
      </c>
      <c r="K8" s="3"/>
      <c r="L8" s="3"/>
      <c r="M8" s="5" t="s">
        <v>140</v>
      </c>
      <c r="N8" s="5"/>
    </row>
    <row r="9" spans="1:14" x14ac:dyDescent="0.25">
      <c r="A9" s="36">
        <f>'Dashboard Data'!$B$24</f>
        <v>20</v>
      </c>
      <c r="B9" s="36"/>
      <c r="C9" s="36"/>
      <c r="D9" s="36">
        <f>'Dashboard Data'!$B$5</f>
        <v>5</v>
      </c>
      <c r="E9" s="36"/>
      <c r="F9" s="36"/>
      <c r="G9" s="39">
        <f>'Dashboard Data'!$B$6</f>
        <v>6</v>
      </c>
      <c r="H9" s="39"/>
      <c r="I9" s="39"/>
      <c r="J9" s="39">
        <f>'Dashboard Data'!$B$23</f>
        <v>15</v>
      </c>
      <c r="K9" s="39"/>
      <c r="L9" s="39"/>
      <c r="M9" s="1">
        <f>'Dashboard Data'!$B$3</f>
        <v>0.6</v>
      </c>
      <c r="N9" s="1"/>
    </row>
    <row r="10" spans="1:14" x14ac:dyDescent="0.25">
      <c r="A10" s="36"/>
      <c r="B10" s="36"/>
      <c r="C10" s="36"/>
      <c r="D10" s="36"/>
      <c r="E10" s="36"/>
      <c r="F10" s="36"/>
      <c r="G10" s="39"/>
      <c r="H10" s="39"/>
      <c r="I10" s="39"/>
      <c r="J10" s="39"/>
      <c r="K10" s="39"/>
      <c r="L10" s="39"/>
      <c r="M10" s="1"/>
      <c r="N10" s="1"/>
    </row>
    <row r="11" spans="1:14" ht="15" customHeight="1" x14ac:dyDescent="0.25">
      <c r="A11" s="4" t="s">
        <v>194</v>
      </c>
      <c r="B11" s="4"/>
      <c r="C11" s="4"/>
      <c r="D11" s="3" t="s">
        <v>209</v>
      </c>
      <c r="E11" s="3"/>
      <c r="F11" s="3"/>
      <c r="G11" s="33" t="s">
        <v>142</v>
      </c>
      <c r="H11" s="33"/>
      <c r="I11" s="33"/>
      <c r="J11" s="32" t="s">
        <v>183</v>
      </c>
      <c r="K11" s="32"/>
      <c r="L11" s="32"/>
      <c r="M11" s="31" t="s">
        <v>136</v>
      </c>
      <c r="N11" s="31"/>
    </row>
    <row r="12" spans="1:14" x14ac:dyDescent="0.25">
      <c r="A12" s="41">
        <f>'Dashboard Data'!$B$22</f>
        <v>6</v>
      </c>
      <c r="B12" s="41"/>
      <c r="C12" s="41"/>
      <c r="D12" s="30">
        <f>'Dashboard Data'!$B$4</f>
        <v>0.11333333333333333</v>
      </c>
      <c r="E12" s="30"/>
      <c r="F12" s="30"/>
      <c r="G12" s="37">
        <f>'Dashboard Data'!$B$8</f>
        <v>6</v>
      </c>
      <c r="H12" s="37"/>
      <c r="I12" s="37"/>
      <c r="J12" s="36">
        <f>'Dashboard Data'!$B$9</f>
        <v>8</v>
      </c>
      <c r="K12" s="36"/>
      <c r="L12" s="36"/>
      <c r="M12" s="35">
        <f>'Dashboard Data'!$B$7</f>
        <v>0.375</v>
      </c>
      <c r="N12" s="35"/>
    </row>
    <row r="13" spans="1:14" x14ac:dyDescent="0.25">
      <c r="A13" s="41"/>
      <c r="B13" s="41"/>
      <c r="C13" s="41"/>
      <c r="D13" s="30"/>
      <c r="E13" s="30"/>
      <c r="F13" s="30"/>
      <c r="G13" s="37"/>
      <c r="H13" s="37"/>
      <c r="I13" s="37"/>
      <c r="J13" s="36"/>
      <c r="K13" s="36"/>
      <c r="L13" s="36"/>
      <c r="M13" s="35"/>
      <c r="N13" s="35"/>
    </row>
    <row r="15" spans="1:14" ht="15" customHeight="1" x14ac:dyDescent="0.25">
      <c r="A15" s="9" t="s">
        <v>210</v>
      </c>
      <c r="B15" s="9"/>
      <c r="C15" s="9"/>
      <c r="D15" s="9"/>
      <c r="E15" s="9"/>
      <c r="F15" s="9"/>
      <c r="G15" s="9"/>
      <c r="H15" s="9"/>
      <c r="I15" s="9"/>
      <c r="J15" s="9"/>
      <c r="K15" s="9"/>
      <c r="L15" s="9"/>
      <c r="M15" s="9"/>
      <c r="N15" s="9"/>
    </row>
    <row r="16" spans="1:14" ht="15" customHeight="1" x14ac:dyDescent="0.25">
      <c r="A16" s="10" t="s">
        <v>211</v>
      </c>
      <c r="B16" s="10"/>
      <c r="C16" s="10"/>
      <c r="D16" s="10"/>
      <c r="E16" s="10"/>
      <c r="F16" s="10"/>
      <c r="G16" s="10"/>
      <c r="H16" s="10"/>
      <c r="I16" s="10"/>
      <c r="J16" s="10"/>
      <c r="K16" s="10"/>
      <c r="L16" s="10"/>
      <c r="M16" s="10"/>
      <c r="N16" s="10"/>
    </row>
    <row r="17" spans="1:14" x14ac:dyDescent="0.25">
      <c r="A17" s="10"/>
      <c r="B17" s="10"/>
      <c r="C17" s="10"/>
      <c r="D17" s="10"/>
      <c r="E17" s="10"/>
      <c r="F17" s="10"/>
      <c r="G17" s="10"/>
      <c r="H17" s="10"/>
      <c r="I17" s="10"/>
      <c r="J17" s="10"/>
      <c r="K17" s="10"/>
      <c r="L17" s="10"/>
      <c r="M17" s="10"/>
      <c r="N17" s="10"/>
    </row>
    <row r="18" spans="1:14" x14ac:dyDescent="0.25">
      <c r="A18" s="10"/>
      <c r="B18" s="10"/>
      <c r="C18" s="10"/>
      <c r="D18" s="10"/>
      <c r="E18" s="10"/>
      <c r="F18" s="10"/>
      <c r="G18" s="10"/>
      <c r="H18" s="10"/>
      <c r="I18" s="10"/>
      <c r="J18" s="10"/>
      <c r="K18" s="10"/>
      <c r="L18" s="10"/>
      <c r="M18" s="10"/>
      <c r="N18" s="10"/>
    </row>
    <row r="52" spans="1:14" ht="15" customHeight="1" x14ac:dyDescent="0.25">
      <c r="A52" s="9" t="s">
        <v>212</v>
      </c>
      <c r="B52" s="9"/>
      <c r="C52" s="9"/>
      <c r="D52" s="9"/>
      <c r="E52" s="9"/>
      <c r="F52" s="9"/>
      <c r="G52" s="9"/>
      <c r="H52" s="9"/>
      <c r="I52" s="9"/>
      <c r="J52" s="9"/>
      <c r="K52" s="9"/>
      <c r="L52" s="9"/>
      <c r="M52" s="9"/>
      <c r="N52" s="9"/>
    </row>
    <row r="53" spans="1:14" ht="15" customHeight="1" x14ac:dyDescent="0.25">
      <c r="A53" s="10" t="s">
        <v>213</v>
      </c>
      <c r="B53" s="10"/>
      <c r="C53" s="10"/>
      <c r="D53" s="10"/>
      <c r="E53" s="10"/>
      <c r="F53" s="10"/>
      <c r="G53" s="10"/>
      <c r="H53" s="10"/>
      <c r="I53" s="10"/>
      <c r="J53" s="10"/>
      <c r="K53" s="10"/>
      <c r="L53" s="10"/>
      <c r="M53" s="10"/>
      <c r="N53" s="10"/>
    </row>
    <row r="54" spans="1:14" x14ac:dyDescent="0.25">
      <c r="A54" s="10"/>
      <c r="B54" s="10"/>
      <c r="C54" s="10"/>
      <c r="D54" s="10"/>
      <c r="E54" s="10"/>
      <c r="F54" s="10"/>
      <c r="G54" s="10"/>
      <c r="H54" s="10"/>
      <c r="I54" s="10"/>
      <c r="J54" s="10"/>
      <c r="K54" s="10"/>
      <c r="L54" s="10"/>
      <c r="M54" s="10"/>
      <c r="N54" s="10"/>
    </row>
    <row r="55" spans="1:14" x14ac:dyDescent="0.25">
      <c r="A55" s="10"/>
      <c r="B55" s="10"/>
      <c r="C55" s="10"/>
      <c r="D55" s="10"/>
      <c r="E55" s="10"/>
      <c r="F55" s="10"/>
      <c r="G55" s="10"/>
      <c r="H55" s="10"/>
      <c r="I55" s="10"/>
      <c r="J55" s="10"/>
      <c r="K55" s="10"/>
      <c r="L55" s="10"/>
      <c r="M55" s="10"/>
      <c r="N55" s="10"/>
    </row>
    <row r="56" spans="1:14" x14ac:dyDescent="0.25">
      <c r="A56" s="10"/>
      <c r="B56" s="10"/>
      <c r="C56" s="10"/>
      <c r="D56" s="10"/>
      <c r="E56" s="10"/>
      <c r="F56" s="10"/>
      <c r="G56" s="10"/>
      <c r="H56" s="10"/>
      <c r="I56" s="10"/>
      <c r="J56" s="10"/>
      <c r="K56" s="10"/>
      <c r="L56" s="10"/>
      <c r="M56" s="10"/>
      <c r="N56" s="10"/>
    </row>
  </sheetData>
  <mergeCells count="27">
    <mergeCell ref="A15:N15"/>
    <mergeCell ref="A16:N18"/>
    <mergeCell ref="A52:N52"/>
    <mergeCell ref="A53:N56"/>
    <mergeCell ref="A12:C13"/>
    <mergeCell ref="D12:F13"/>
    <mergeCell ref="G12:I13"/>
    <mergeCell ref="J12:L13"/>
    <mergeCell ref="M12:N13"/>
    <mergeCell ref="A11:C11"/>
    <mergeCell ref="D11:F11"/>
    <mergeCell ref="G11:I11"/>
    <mergeCell ref="J11:L11"/>
    <mergeCell ref="M11:N11"/>
    <mergeCell ref="A9:C10"/>
    <mergeCell ref="D9:F10"/>
    <mergeCell ref="G9:I10"/>
    <mergeCell ref="J9:L10"/>
    <mergeCell ref="M9:N10"/>
    <mergeCell ref="A1:N1"/>
    <mergeCell ref="A2:N2"/>
    <mergeCell ref="A4:N6"/>
    <mergeCell ref="A8:C8"/>
    <mergeCell ref="D8:F8"/>
    <mergeCell ref="G8:I8"/>
    <mergeCell ref="J8:L8"/>
    <mergeCell ref="M8:N8"/>
  </mergeCells>
  <hyperlinks>
    <hyperlink ref="A3" r:id="rId1" location="'Start%20Here'!A1" xr:uid="{00000000-0004-0000-0600-000000000000}"/>
    <hyperlink ref="B3" r:id="rId2" location="'UAT%20Overview'!A1" xr:uid="{00000000-0004-0000-0600-000001000000}"/>
    <hyperlink ref="C3" r:id="rId3" location="'Executive%20Dashboard'!A1" xr:uid="{00000000-0004-0000-0600-000002000000}"/>
    <hyperlink ref="D3" r:id="rId4" location="'Operational%20Dashboard'!A1" xr:uid="{00000000-0004-0000-0600-000003000000}"/>
    <hyperlink ref="E3" r:id="rId5" location="'Readiness%20Checklist'!A1" xr:uid="{00000000-0004-0000-0600-000004000000}"/>
  </hyperlinks>
  <pageMargins left="0.75" right="0.75" top="1" bottom="1" header="0.511811023622047" footer="0.511811023622047"/>
  <pageSetup paperSize="9" orientation="portrait" horizontalDpi="300" verticalDpi="300"/>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6"/>
  <sheetViews>
    <sheetView showGridLines="0" topLeftCell="A22" zoomScaleNormal="100" workbookViewId="0">
      <selection activeCell="L46" sqref="L46"/>
    </sheetView>
  </sheetViews>
  <sheetFormatPr defaultColWidth="8.7109375" defaultRowHeight="15" customHeight="1" x14ac:dyDescent="0.25"/>
  <cols>
    <col min="1" max="14" width="16" customWidth="1"/>
  </cols>
  <sheetData>
    <row r="1" spans="1:14" ht="25.5" customHeight="1" x14ac:dyDescent="0.25">
      <c r="A1" s="12" t="str">
        <f>'Branding &amp; Setup'!$B$9 &amp; " | Readiness Dashboard"</f>
        <v>Northbridge Citizens Services | Readiness Dashboard</v>
      </c>
      <c r="B1" s="12"/>
      <c r="C1" s="12"/>
      <c r="D1" s="12"/>
      <c r="E1" s="12"/>
      <c r="F1" s="12"/>
      <c r="G1" s="12"/>
      <c r="H1" s="12"/>
      <c r="I1" s="12"/>
      <c r="J1" s="12"/>
      <c r="K1" s="12"/>
      <c r="L1" s="12"/>
      <c r="M1" s="12"/>
      <c r="N1" s="12"/>
    </row>
    <row r="2" spans="1:14"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c r="M2" s="11"/>
      <c r="N2" s="11"/>
    </row>
    <row r="3" spans="1:14" ht="18" customHeight="1" x14ac:dyDescent="0.25">
      <c r="A3" s="13" t="s">
        <v>0</v>
      </c>
      <c r="B3" s="13" t="s">
        <v>1</v>
      </c>
      <c r="C3" s="13" t="s">
        <v>2</v>
      </c>
      <c r="D3" s="13" t="s">
        <v>3</v>
      </c>
      <c r="E3" s="13" t="s">
        <v>4</v>
      </c>
    </row>
    <row r="4" spans="1:14" ht="18" customHeight="1" x14ac:dyDescent="0.25">
      <c r="A4" s="10" t="s">
        <v>214</v>
      </c>
      <c r="B4" s="10"/>
      <c r="C4" s="10"/>
      <c r="D4" s="10"/>
      <c r="E4" s="10"/>
      <c r="F4" s="10"/>
      <c r="G4" s="10"/>
      <c r="H4" s="10"/>
      <c r="I4" s="10"/>
      <c r="J4" s="10"/>
      <c r="K4" s="10"/>
      <c r="L4" s="10"/>
      <c r="M4" s="10"/>
      <c r="N4" s="10"/>
    </row>
    <row r="5" spans="1:14" ht="18" customHeight="1" x14ac:dyDescent="0.25">
      <c r="A5" s="10"/>
      <c r="B5" s="10"/>
      <c r="C5" s="10"/>
      <c r="D5" s="10"/>
      <c r="E5" s="10"/>
      <c r="F5" s="10"/>
      <c r="G5" s="10"/>
      <c r="H5" s="10"/>
      <c r="I5" s="10"/>
      <c r="J5" s="10"/>
      <c r="K5" s="10"/>
      <c r="L5" s="10"/>
      <c r="M5" s="10"/>
      <c r="N5" s="10"/>
    </row>
    <row r="6" spans="1:14" ht="18" customHeight="1" x14ac:dyDescent="0.25">
      <c r="A6" s="10"/>
      <c r="B6" s="10"/>
      <c r="C6" s="10"/>
      <c r="D6" s="10"/>
      <c r="E6" s="10"/>
      <c r="F6" s="10"/>
      <c r="G6" s="10"/>
      <c r="H6" s="10"/>
      <c r="I6" s="10"/>
      <c r="J6" s="10"/>
      <c r="K6" s="10"/>
      <c r="L6" s="10"/>
      <c r="M6" s="10"/>
      <c r="N6" s="10"/>
    </row>
    <row r="8" spans="1:14" ht="15" customHeight="1" x14ac:dyDescent="0.25">
      <c r="A8" s="5" t="s">
        <v>134</v>
      </c>
      <c r="B8" s="5"/>
      <c r="C8" s="5"/>
      <c r="D8" s="4" t="s">
        <v>184</v>
      </c>
      <c r="E8" s="4"/>
      <c r="F8" s="4"/>
      <c r="G8" s="3" t="s">
        <v>215</v>
      </c>
      <c r="H8" s="3"/>
      <c r="I8" s="3"/>
      <c r="J8" s="32" t="s">
        <v>183</v>
      </c>
      <c r="K8" s="32"/>
      <c r="L8" s="32"/>
      <c r="M8" s="32" t="s">
        <v>185</v>
      </c>
      <c r="N8" s="32"/>
    </row>
    <row r="9" spans="1:14" x14ac:dyDescent="0.25">
      <c r="A9" s="1">
        <f>'Dashboard Data'!$B$1</f>
        <v>0.59649122807017541</v>
      </c>
      <c r="B9" s="1"/>
      <c r="C9" s="1"/>
      <c r="D9" s="29">
        <f>'Dashboard Data'!$B$10</f>
        <v>0.88235294117647056</v>
      </c>
      <c r="E9" s="29"/>
      <c r="F9" s="29"/>
      <c r="G9" s="39">
        <f>'Dashboard Data'!$B$11</f>
        <v>29</v>
      </c>
      <c r="H9" s="39"/>
      <c r="I9" s="39"/>
      <c r="J9" s="36">
        <f>'Dashboard Data'!$B$9</f>
        <v>8</v>
      </c>
      <c r="K9" s="36"/>
      <c r="L9" s="36"/>
      <c r="M9" s="36">
        <f>'Dashboard Data'!$B$13</f>
        <v>3</v>
      </c>
      <c r="N9" s="36"/>
    </row>
    <row r="10" spans="1:14" x14ac:dyDescent="0.25">
      <c r="A10" s="1"/>
      <c r="B10" s="1"/>
      <c r="C10" s="1"/>
      <c r="D10" s="29"/>
      <c r="E10" s="29"/>
      <c r="F10" s="29"/>
      <c r="G10" s="39"/>
      <c r="H10" s="39"/>
      <c r="I10" s="39"/>
      <c r="J10" s="36"/>
      <c r="K10" s="36"/>
      <c r="L10" s="36"/>
      <c r="M10" s="36"/>
      <c r="N10" s="36"/>
    </row>
    <row r="11" spans="1:14" ht="15" customHeight="1" x14ac:dyDescent="0.25">
      <c r="A11" s="33" t="s">
        <v>142</v>
      </c>
      <c r="B11" s="33"/>
      <c r="C11" s="33"/>
      <c r="D11" s="31" t="s">
        <v>135</v>
      </c>
      <c r="E11" s="31"/>
      <c r="F11" s="31"/>
      <c r="G11" s="3" t="s">
        <v>136</v>
      </c>
      <c r="H11" s="3"/>
      <c r="I11" s="3"/>
      <c r="J11" s="32" t="s">
        <v>206</v>
      </c>
      <c r="K11" s="32"/>
      <c r="L11" s="32"/>
      <c r="M11" s="3" t="s">
        <v>207</v>
      </c>
      <c r="N11" s="3"/>
    </row>
    <row r="12" spans="1:14" x14ac:dyDescent="0.25">
      <c r="A12" s="37">
        <f>'Dashboard Data'!$B$8</f>
        <v>6</v>
      </c>
      <c r="B12" s="37"/>
      <c r="C12" s="37"/>
      <c r="D12" s="35">
        <f>'Dashboard Data'!$B$2</f>
        <v>0.8</v>
      </c>
      <c r="E12" s="35"/>
      <c r="F12" s="35"/>
      <c r="G12" s="30">
        <f>'Dashboard Data'!$B$7</f>
        <v>0.375</v>
      </c>
      <c r="H12" s="30"/>
      <c r="I12" s="30"/>
      <c r="J12" s="36">
        <f>'Dashboard Data'!$B$5</f>
        <v>5</v>
      </c>
      <c r="K12" s="36"/>
      <c r="L12" s="36"/>
      <c r="M12" s="39">
        <f>'Dashboard Data'!$B$6</f>
        <v>6</v>
      </c>
      <c r="N12" s="39"/>
    </row>
    <row r="13" spans="1:14" x14ac:dyDescent="0.25">
      <c r="A13" s="37"/>
      <c r="B13" s="37"/>
      <c r="C13" s="37"/>
      <c r="D13" s="35"/>
      <c r="E13" s="35"/>
      <c r="F13" s="35"/>
      <c r="G13" s="30"/>
      <c r="H13" s="30"/>
      <c r="I13" s="30"/>
      <c r="J13" s="36"/>
      <c r="K13" s="36"/>
      <c r="L13" s="36"/>
      <c r="M13" s="39"/>
      <c r="N13" s="39"/>
    </row>
    <row r="15" spans="1:14" ht="15" customHeight="1" x14ac:dyDescent="0.25">
      <c r="A15" s="9" t="s">
        <v>216</v>
      </c>
      <c r="B15" s="9"/>
      <c r="C15" s="9"/>
      <c r="D15" s="9"/>
      <c r="E15" s="9"/>
      <c r="F15" s="9"/>
      <c r="G15" s="9"/>
      <c r="H15" s="9"/>
      <c r="I15" s="9"/>
      <c r="J15" s="9"/>
      <c r="K15" s="9"/>
      <c r="L15" s="9"/>
      <c r="M15" s="9"/>
      <c r="N15" s="9"/>
    </row>
    <row r="16" spans="1:14" ht="15" customHeight="1" x14ac:dyDescent="0.25">
      <c r="A16" s="10" t="s">
        <v>217</v>
      </c>
      <c r="B16" s="10"/>
      <c r="C16" s="10"/>
      <c r="D16" s="10"/>
      <c r="E16" s="10"/>
      <c r="F16" s="10"/>
      <c r="G16" s="10"/>
      <c r="H16" s="10"/>
      <c r="I16" s="10"/>
      <c r="J16" s="10"/>
      <c r="K16" s="10"/>
      <c r="L16" s="10"/>
      <c r="M16" s="10"/>
      <c r="N16" s="10"/>
    </row>
    <row r="17" spans="1:14" x14ac:dyDescent="0.25">
      <c r="A17" s="10"/>
      <c r="B17" s="10"/>
      <c r="C17" s="10"/>
      <c r="D17" s="10"/>
      <c r="E17" s="10"/>
      <c r="F17" s="10"/>
      <c r="G17" s="10"/>
      <c r="H17" s="10"/>
      <c r="I17" s="10"/>
      <c r="J17" s="10"/>
      <c r="K17" s="10"/>
      <c r="L17" s="10"/>
      <c r="M17" s="10"/>
      <c r="N17" s="10"/>
    </row>
    <row r="18" spans="1:14" x14ac:dyDescent="0.25">
      <c r="A18" s="10"/>
      <c r="B18" s="10"/>
      <c r="C18" s="10"/>
      <c r="D18" s="10"/>
      <c r="E18" s="10"/>
      <c r="F18" s="10"/>
      <c r="G18" s="10"/>
      <c r="H18" s="10"/>
      <c r="I18" s="10"/>
      <c r="J18" s="10"/>
      <c r="K18" s="10"/>
      <c r="L18" s="10"/>
      <c r="M18" s="10"/>
      <c r="N18" s="10"/>
    </row>
    <row r="52" spans="1:14" ht="15" customHeight="1" x14ac:dyDescent="0.25">
      <c r="A52" s="9" t="s">
        <v>218</v>
      </c>
      <c r="B52" s="9"/>
      <c r="C52" s="9"/>
      <c r="D52" s="9"/>
      <c r="E52" s="9"/>
      <c r="F52" s="9"/>
      <c r="G52" s="9"/>
      <c r="H52" s="9"/>
      <c r="I52" s="9"/>
      <c r="J52" s="9"/>
      <c r="K52" s="9"/>
      <c r="L52" s="9"/>
      <c r="M52" s="9"/>
      <c r="N52" s="9"/>
    </row>
    <row r="53" spans="1:14" ht="15" customHeight="1" x14ac:dyDescent="0.25">
      <c r="A53" s="10" t="s">
        <v>219</v>
      </c>
      <c r="B53" s="10"/>
      <c r="C53" s="10"/>
      <c r="D53" s="10"/>
      <c r="E53" s="10"/>
      <c r="F53" s="10"/>
      <c r="G53" s="10"/>
      <c r="H53" s="10"/>
      <c r="I53" s="10"/>
      <c r="J53" s="10"/>
      <c r="K53" s="10"/>
      <c r="L53" s="10"/>
      <c r="M53" s="10"/>
      <c r="N53" s="10"/>
    </row>
    <row r="54" spans="1:14" x14ac:dyDescent="0.25">
      <c r="A54" s="10"/>
      <c r="B54" s="10"/>
      <c r="C54" s="10"/>
      <c r="D54" s="10"/>
      <c r="E54" s="10"/>
      <c r="F54" s="10"/>
      <c r="G54" s="10"/>
      <c r="H54" s="10"/>
      <c r="I54" s="10"/>
      <c r="J54" s="10"/>
      <c r="K54" s="10"/>
      <c r="L54" s="10"/>
      <c r="M54" s="10"/>
      <c r="N54" s="10"/>
    </row>
    <row r="55" spans="1:14" x14ac:dyDescent="0.25">
      <c r="A55" s="10"/>
      <c r="B55" s="10"/>
      <c r="C55" s="10"/>
      <c r="D55" s="10"/>
      <c r="E55" s="10"/>
      <c r="F55" s="10"/>
      <c r="G55" s="10"/>
      <c r="H55" s="10"/>
      <c r="I55" s="10"/>
      <c r="J55" s="10"/>
      <c r="K55" s="10"/>
      <c r="L55" s="10"/>
      <c r="M55" s="10"/>
      <c r="N55" s="10"/>
    </row>
    <row r="56" spans="1:14" x14ac:dyDescent="0.25">
      <c r="A56" s="10"/>
      <c r="B56" s="10"/>
      <c r="C56" s="10"/>
      <c r="D56" s="10"/>
      <c r="E56" s="10"/>
      <c r="F56" s="10"/>
      <c r="G56" s="10"/>
      <c r="H56" s="10"/>
      <c r="I56" s="10"/>
      <c r="J56" s="10"/>
      <c r="K56" s="10"/>
      <c r="L56" s="10"/>
      <c r="M56" s="10"/>
      <c r="N56" s="10"/>
    </row>
  </sheetData>
  <mergeCells count="27">
    <mergeCell ref="A15:N15"/>
    <mergeCell ref="A16:N18"/>
    <mergeCell ref="A52:N52"/>
    <mergeCell ref="A53:N56"/>
    <mergeCell ref="A12:C13"/>
    <mergeCell ref="D12:F13"/>
    <mergeCell ref="G12:I13"/>
    <mergeCell ref="J12:L13"/>
    <mergeCell ref="M12:N13"/>
    <mergeCell ref="A11:C11"/>
    <mergeCell ref="D11:F11"/>
    <mergeCell ref="G11:I11"/>
    <mergeCell ref="J11:L11"/>
    <mergeCell ref="M11:N11"/>
    <mergeCell ref="A9:C10"/>
    <mergeCell ref="D9:F10"/>
    <mergeCell ref="G9:I10"/>
    <mergeCell ref="J9:L10"/>
    <mergeCell ref="M9:N10"/>
    <mergeCell ref="A1:N1"/>
    <mergeCell ref="A2:N2"/>
    <mergeCell ref="A4:N6"/>
    <mergeCell ref="A8:C8"/>
    <mergeCell ref="D8:F8"/>
    <mergeCell ref="G8:I8"/>
    <mergeCell ref="J8:L8"/>
    <mergeCell ref="M8:N8"/>
  </mergeCells>
  <hyperlinks>
    <hyperlink ref="A3" r:id="rId1" location="'Start%20Here'!A1" xr:uid="{00000000-0004-0000-0700-000000000000}"/>
    <hyperlink ref="B3" r:id="rId2" location="'UAT%20Overview'!A1" xr:uid="{00000000-0004-0000-0700-000001000000}"/>
    <hyperlink ref="C3" r:id="rId3" location="'Executive%20Dashboard'!A1" xr:uid="{00000000-0004-0000-0700-000002000000}"/>
    <hyperlink ref="D3" r:id="rId4" location="'Operational%20Dashboard'!A1" xr:uid="{00000000-0004-0000-0700-000003000000}"/>
    <hyperlink ref="E3" r:id="rId5" location="'Readiness%20Checklist'!A1" xr:uid="{00000000-0004-0000-0700-000004000000}"/>
  </hyperlinks>
  <pageMargins left="0.75" right="0.75" top="1" bottom="1" header="0.511811023622047" footer="0.511811023622047"/>
  <pageSetup paperSize="9" orientation="portrait" horizontalDpi="300" verticalDpi="300"/>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3"/>
  <sheetViews>
    <sheetView zoomScaleNormal="100" workbookViewId="0">
      <pane ySplit="8" topLeftCell="A21" activePane="bottomLeft" state="frozen"/>
      <selection pane="bottomLeft" sqref="A1:L1"/>
    </sheetView>
  </sheetViews>
  <sheetFormatPr defaultColWidth="8.7109375" defaultRowHeight="15" customHeight="1" x14ac:dyDescent="0.25"/>
  <cols>
    <col min="1" max="1" width="14" customWidth="1"/>
    <col min="2" max="2" width="18" customWidth="1"/>
    <col min="3" max="3" width="24" customWidth="1"/>
    <col min="4" max="4" width="36" customWidth="1"/>
    <col min="5" max="6" width="14" customWidth="1"/>
    <col min="7" max="7" width="18" customWidth="1"/>
    <col min="8" max="8" width="14" customWidth="1"/>
    <col min="9" max="9" width="18" customWidth="1"/>
    <col min="10" max="10" width="24" customWidth="1"/>
    <col min="11" max="12" width="12" customWidth="1"/>
  </cols>
  <sheetData>
    <row r="1" spans="1:12" ht="25.5" customHeight="1" x14ac:dyDescent="0.25">
      <c r="A1" s="12" t="str">
        <f>'Branding &amp; Setup'!$B$9 &amp; " | UAT Plan"</f>
        <v>Northbridge Citizens Services | UAT Plan</v>
      </c>
      <c r="B1" s="12"/>
      <c r="C1" s="12"/>
      <c r="D1" s="12"/>
      <c r="E1" s="12"/>
      <c r="F1" s="12"/>
      <c r="G1" s="12"/>
      <c r="H1" s="12"/>
      <c r="I1" s="12"/>
      <c r="J1" s="12"/>
      <c r="K1" s="12"/>
      <c r="L1" s="12"/>
    </row>
    <row r="2" spans="1:12" ht="19.5" customHeight="1" x14ac:dyDescent="0.25">
      <c r="A2" s="11" t="str">
        <f>'Branding &amp; Setup'!$B$10 &amp; " | " &amp; 'Branding &amp; Setup'!$B$11 &amp; " | Report date: " &amp; TEXT('Branding &amp; Setup'!$B$12,"dd-mmm-yyyy")</f>
        <v>Service Transformation Programme | Release 2 - Case Management &amp; Appointments | Report date: 12-Mar-2026</v>
      </c>
      <c r="B2" s="11"/>
      <c r="C2" s="11"/>
      <c r="D2" s="11"/>
      <c r="E2" s="11"/>
      <c r="F2" s="11"/>
      <c r="G2" s="11"/>
      <c r="H2" s="11"/>
      <c r="I2" s="11"/>
      <c r="J2" s="11"/>
      <c r="K2" s="11"/>
      <c r="L2" s="11"/>
    </row>
    <row r="3" spans="1:12" ht="18" customHeight="1" x14ac:dyDescent="0.25">
      <c r="A3" s="13" t="s">
        <v>0</v>
      </c>
      <c r="B3" s="13" t="s">
        <v>1</v>
      </c>
      <c r="C3" s="13" t="s">
        <v>2</v>
      </c>
      <c r="D3" s="13" t="s">
        <v>3</v>
      </c>
      <c r="E3" s="13" t="s">
        <v>4</v>
      </c>
    </row>
    <row r="4" spans="1:12" ht="18" customHeight="1" x14ac:dyDescent="0.25">
      <c r="A4" s="10" t="s">
        <v>220</v>
      </c>
      <c r="B4" s="10"/>
      <c r="C4" s="10"/>
      <c r="D4" s="10"/>
      <c r="E4" s="10"/>
      <c r="F4" s="10"/>
      <c r="G4" s="10"/>
      <c r="H4" s="10"/>
      <c r="I4" s="10"/>
      <c r="J4" s="10"/>
      <c r="K4" s="10"/>
      <c r="L4" s="10"/>
    </row>
    <row r="5" spans="1:12" ht="18" customHeight="1" x14ac:dyDescent="0.25">
      <c r="A5" s="10"/>
      <c r="B5" s="10"/>
      <c r="C5" s="10"/>
      <c r="D5" s="10"/>
      <c r="E5" s="10"/>
      <c r="F5" s="10"/>
      <c r="G5" s="10"/>
      <c r="H5" s="10"/>
      <c r="I5" s="10"/>
      <c r="J5" s="10"/>
      <c r="K5" s="10"/>
      <c r="L5" s="10"/>
    </row>
    <row r="6" spans="1:12" ht="18" customHeight="1" x14ac:dyDescent="0.25">
      <c r="A6" s="10"/>
      <c r="B6" s="10"/>
      <c r="C6" s="10"/>
      <c r="D6" s="10"/>
      <c r="E6" s="10"/>
      <c r="F6" s="10"/>
      <c r="G6" s="10"/>
      <c r="H6" s="10"/>
      <c r="I6" s="10"/>
      <c r="J6" s="10"/>
      <c r="K6" s="10"/>
      <c r="L6" s="10"/>
    </row>
    <row r="8" spans="1:12" x14ac:dyDescent="0.25">
      <c r="A8" s="21" t="s">
        <v>221</v>
      </c>
      <c r="B8" s="21" t="s">
        <v>222</v>
      </c>
      <c r="C8" s="21" t="s">
        <v>148</v>
      </c>
      <c r="D8" s="21" t="s">
        <v>223</v>
      </c>
      <c r="E8" s="21" t="s">
        <v>224</v>
      </c>
      <c r="F8" s="21" t="s">
        <v>225</v>
      </c>
      <c r="G8" s="21" t="s">
        <v>226</v>
      </c>
      <c r="H8" s="21" t="s">
        <v>151</v>
      </c>
      <c r="I8" s="21" t="s">
        <v>153</v>
      </c>
      <c r="J8" s="21" t="s">
        <v>154</v>
      </c>
      <c r="K8" s="21" t="s">
        <v>152</v>
      </c>
      <c r="L8" s="21" t="s">
        <v>227</v>
      </c>
    </row>
    <row r="9" spans="1:12" ht="25.5" x14ac:dyDescent="0.25">
      <c r="A9" s="16" t="s">
        <v>228</v>
      </c>
      <c r="B9" s="16" t="s">
        <v>229</v>
      </c>
      <c r="C9" s="16" t="s">
        <v>157</v>
      </c>
      <c r="D9" s="25" t="s">
        <v>230</v>
      </c>
      <c r="E9" s="17">
        <v>46070</v>
      </c>
      <c r="F9" s="17">
        <v>46070</v>
      </c>
      <c r="G9" s="16" t="s">
        <v>231</v>
      </c>
      <c r="H9" s="16" t="s">
        <v>232</v>
      </c>
      <c r="I9" s="16" t="s">
        <v>158</v>
      </c>
      <c r="J9" s="16"/>
      <c r="K9" s="26">
        <f>IF(F9="",'Branding &amp; Setup'!$B$12-E9,F9-E9)</f>
        <v>0</v>
      </c>
      <c r="L9" s="27" t="str">
        <f t="shared" ref="L9:L23" si="0">IF(AND(H9&lt;&gt;"Complete",K9&gt;0),"Yes","No")</f>
        <v>No</v>
      </c>
    </row>
    <row r="10" spans="1:12" ht="25.5" x14ac:dyDescent="0.25">
      <c r="A10" s="16" t="s">
        <v>233</v>
      </c>
      <c r="B10" s="16" t="s">
        <v>229</v>
      </c>
      <c r="C10" s="16" t="s">
        <v>161</v>
      </c>
      <c r="D10" s="25" t="s">
        <v>234</v>
      </c>
      <c r="E10" s="17">
        <v>46072</v>
      </c>
      <c r="F10" s="17">
        <v>46072</v>
      </c>
      <c r="G10" s="16" t="s">
        <v>79</v>
      </c>
      <c r="H10" s="16" t="s">
        <v>232</v>
      </c>
      <c r="I10" s="16" t="s">
        <v>158</v>
      </c>
      <c r="J10" s="16"/>
      <c r="K10" s="26">
        <f>IF(F10="",'Branding &amp; Setup'!$B$12-E10,F10-E10)</f>
        <v>0</v>
      </c>
      <c r="L10" s="27" t="str">
        <f t="shared" si="0"/>
        <v>No</v>
      </c>
    </row>
    <row r="11" spans="1:12" ht="25.5" x14ac:dyDescent="0.25">
      <c r="A11" s="16" t="s">
        <v>233</v>
      </c>
      <c r="B11" s="16" t="s">
        <v>229</v>
      </c>
      <c r="C11" s="16" t="s">
        <v>164</v>
      </c>
      <c r="D11" s="25" t="s">
        <v>235</v>
      </c>
      <c r="E11" s="17">
        <v>46075</v>
      </c>
      <c r="F11" s="17">
        <v>46077</v>
      </c>
      <c r="G11" s="16" t="s">
        <v>231</v>
      </c>
      <c r="H11" s="16" t="s">
        <v>232</v>
      </c>
      <c r="I11" s="16" t="s">
        <v>158</v>
      </c>
      <c r="J11" s="16"/>
      <c r="K11" s="26">
        <f>IF(F11="",'Branding &amp; Setup'!$B$12-E11,F11-E11)</f>
        <v>2</v>
      </c>
      <c r="L11" s="27" t="str">
        <f t="shared" si="0"/>
        <v>No</v>
      </c>
    </row>
    <row r="12" spans="1:12" ht="25.5" x14ac:dyDescent="0.25">
      <c r="A12" s="16" t="s">
        <v>233</v>
      </c>
      <c r="B12" s="16" t="s">
        <v>229</v>
      </c>
      <c r="C12" s="16" t="s">
        <v>167</v>
      </c>
      <c r="D12" s="25" t="s">
        <v>236</v>
      </c>
      <c r="E12" s="17">
        <v>46076</v>
      </c>
      <c r="F12" s="17">
        <v>46076</v>
      </c>
      <c r="G12" s="16" t="s">
        <v>231</v>
      </c>
      <c r="H12" s="16" t="s">
        <v>232</v>
      </c>
      <c r="I12" s="16" t="s">
        <v>168</v>
      </c>
      <c r="J12" s="16"/>
      <c r="K12" s="26">
        <f>IF(F12="",'Branding &amp; Setup'!$B$12-E12,F12-E12)</f>
        <v>0</v>
      </c>
      <c r="L12" s="27" t="str">
        <f t="shared" si="0"/>
        <v>No</v>
      </c>
    </row>
    <row r="13" spans="1:12" x14ac:dyDescent="0.25">
      <c r="A13" s="16" t="s">
        <v>237</v>
      </c>
      <c r="B13" s="16" t="s">
        <v>238</v>
      </c>
      <c r="C13" s="16" t="s">
        <v>171</v>
      </c>
      <c r="D13" s="16" t="s">
        <v>239</v>
      </c>
      <c r="E13" s="17">
        <v>46077</v>
      </c>
      <c r="F13" s="17">
        <v>46077</v>
      </c>
      <c r="G13" s="16" t="s">
        <v>231</v>
      </c>
      <c r="H13" s="16" t="s">
        <v>232</v>
      </c>
      <c r="I13" s="16" t="s">
        <v>172</v>
      </c>
      <c r="J13" s="16"/>
      <c r="K13" s="26">
        <f>IF(F13="",'Branding &amp; Setup'!$B$12-E13,F13-E13)</f>
        <v>0</v>
      </c>
      <c r="L13" s="27" t="str">
        <f t="shared" si="0"/>
        <v>No</v>
      </c>
    </row>
    <row r="14" spans="1:12" x14ac:dyDescent="0.25">
      <c r="A14" s="16" t="s">
        <v>237</v>
      </c>
      <c r="B14" s="16" t="s">
        <v>238</v>
      </c>
      <c r="C14" s="16" t="s">
        <v>175</v>
      </c>
      <c r="D14" s="16" t="s">
        <v>240</v>
      </c>
      <c r="E14" s="17">
        <v>46080</v>
      </c>
      <c r="F14" s="17">
        <v>46080</v>
      </c>
      <c r="G14" s="16" t="s">
        <v>241</v>
      </c>
      <c r="H14" s="16" t="s">
        <v>232</v>
      </c>
      <c r="I14" s="16" t="s">
        <v>158</v>
      </c>
      <c r="J14" s="16"/>
      <c r="K14" s="26">
        <f>IF(F14="",'Branding &amp; Setup'!$B$12-E14,F14-E14)</f>
        <v>0</v>
      </c>
      <c r="L14" s="27" t="str">
        <f t="shared" si="0"/>
        <v>No</v>
      </c>
    </row>
    <row r="15" spans="1:12" x14ac:dyDescent="0.25">
      <c r="A15" s="16" t="s">
        <v>237</v>
      </c>
      <c r="B15" s="16" t="s">
        <v>238</v>
      </c>
      <c r="C15" s="16" t="s">
        <v>178</v>
      </c>
      <c r="D15" s="16" t="s">
        <v>242</v>
      </c>
      <c r="E15" s="17">
        <v>46082</v>
      </c>
      <c r="F15" s="17">
        <v>46082</v>
      </c>
      <c r="G15" s="16" t="s">
        <v>243</v>
      </c>
      <c r="H15" s="16" t="s">
        <v>232</v>
      </c>
      <c r="I15" s="16" t="s">
        <v>172</v>
      </c>
      <c r="J15" s="16"/>
      <c r="K15" s="26">
        <f>IF(F15="",'Branding &amp; Setup'!$B$12-E15,F15-E15)</f>
        <v>0</v>
      </c>
      <c r="L15" s="27" t="str">
        <f t="shared" si="0"/>
        <v>No</v>
      </c>
    </row>
    <row r="16" spans="1:12" ht="25.5" x14ac:dyDescent="0.25">
      <c r="A16" s="16" t="s">
        <v>237</v>
      </c>
      <c r="B16" s="16" t="s">
        <v>244</v>
      </c>
      <c r="C16" s="16" t="s">
        <v>179</v>
      </c>
      <c r="D16" s="16" t="s">
        <v>245</v>
      </c>
      <c r="E16" s="17">
        <v>46083</v>
      </c>
      <c r="F16" s="16"/>
      <c r="G16" s="16" t="s">
        <v>241</v>
      </c>
      <c r="H16" s="16" t="s">
        <v>246</v>
      </c>
      <c r="I16" s="16" t="s">
        <v>172</v>
      </c>
      <c r="J16" s="25" t="s">
        <v>180</v>
      </c>
      <c r="K16" s="26">
        <f>IF(F16="",'Branding &amp; Setup'!$B$12-E16,F16-E16)</f>
        <v>10</v>
      </c>
      <c r="L16" s="27" t="str">
        <f t="shared" si="0"/>
        <v>Yes</v>
      </c>
    </row>
    <row r="17" spans="1:12" x14ac:dyDescent="0.25">
      <c r="A17" s="16" t="s">
        <v>237</v>
      </c>
      <c r="B17" s="16" t="s">
        <v>244</v>
      </c>
      <c r="C17" s="16" t="s">
        <v>247</v>
      </c>
      <c r="D17" s="16" t="s">
        <v>248</v>
      </c>
      <c r="E17" s="17">
        <v>46086</v>
      </c>
      <c r="F17" s="17">
        <v>46087</v>
      </c>
      <c r="G17" s="16" t="s">
        <v>81</v>
      </c>
      <c r="H17" s="16" t="s">
        <v>232</v>
      </c>
      <c r="I17" s="16" t="s">
        <v>249</v>
      </c>
      <c r="J17" s="16"/>
      <c r="K17" s="26">
        <f>IF(F17="",'Branding &amp; Setup'!$B$12-E17,F17-E17)</f>
        <v>1</v>
      </c>
      <c r="L17" s="27" t="str">
        <f t="shared" si="0"/>
        <v>No</v>
      </c>
    </row>
    <row r="18" spans="1:12" x14ac:dyDescent="0.25">
      <c r="A18" s="16" t="s">
        <v>237</v>
      </c>
      <c r="B18" s="16" t="s">
        <v>244</v>
      </c>
      <c r="C18" s="16" t="s">
        <v>250</v>
      </c>
      <c r="D18" s="25" t="s">
        <v>251</v>
      </c>
      <c r="E18" s="17">
        <v>46088</v>
      </c>
      <c r="F18" s="17">
        <v>46089</v>
      </c>
      <c r="G18" s="16" t="s">
        <v>252</v>
      </c>
      <c r="H18" s="16" t="s">
        <v>232</v>
      </c>
      <c r="I18" s="16" t="s">
        <v>249</v>
      </c>
      <c r="J18" s="16"/>
      <c r="K18" s="26">
        <f>IF(F18="",'Branding &amp; Setup'!$B$12-E18,F18-E18)</f>
        <v>1</v>
      </c>
      <c r="L18" s="27" t="str">
        <f t="shared" si="0"/>
        <v>No</v>
      </c>
    </row>
    <row r="19" spans="1:12" x14ac:dyDescent="0.25">
      <c r="A19" s="16" t="s">
        <v>237</v>
      </c>
      <c r="B19" s="16" t="s">
        <v>253</v>
      </c>
      <c r="C19" s="16" t="s">
        <v>254</v>
      </c>
      <c r="D19" s="16" t="s">
        <v>255</v>
      </c>
      <c r="E19" s="17">
        <v>46089</v>
      </c>
      <c r="F19" s="17">
        <v>46090</v>
      </c>
      <c r="G19" s="16" t="s">
        <v>231</v>
      </c>
      <c r="H19" s="16" t="s">
        <v>232</v>
      </c>
      <c r="I19" s="16" t="s">
        <v>249</v>
      </c>
      <c r="J19" s="16"/>
      <c r="K19" s="26">
        <f>IF(F19="",'Branding &amp; Setup'!$B$12-E19,F19-E19)</f>
        <v>1</v>
      </c>
      <c r="L19" s="27" t="str">
        <f t="shared" si="0"/>
        <v>No</v>
      </c>
    </row>
    <row r="20" spans="1:12" ht="25.5" x14ac:dyDescent="0.25">
      <c r="A20" s="16" t="s">
        <v>237</v>
      </c>
      <c r="B20" s="16" t="s">
        <v>253</v>
      </c>
      <c r="C20" s="16" t="s">
        <v>256</v>
      </c>
      <c r="D20" s="16" t="s">
        <v>257</v>
      </c>
      <c r="E20" s="17">
        <v>46091</v>
      </c>
      <c r="F20" s="16"/>
      <c r="G20" s="16" t="s">
        <v>258</v>
      </c>
      <c r="H20" s="16" t="s">
        <v>246</v>
      </c>
      <c r="I20" s="16" t="s">
        <v>172</v>
      </c>
      <c r="J20" s="25" t="s">
        <v>180</v>
      </c>
      <c r="K20" s="26">
        <f>IF(F20="",'Branding &amp; Setup'!$B$12-E20,F20-E20)</f>
        <v>2</v>
      </c>
      <c r="L20" s="27" t="str">
        <f t="shared" si="0"/>
        <v>Yes</v>
      </c>
    </row>
    <row r="21" spans="1:12" ht="25.5" x14ac:dyDescent="0.25">
      <c r="A21" s="16" t="s">
        <v>259</v>
      </c>
      <c r="B21" s="16" t="s">
        <v>260</v>
      </c>
      <c r="C21" s="16" t="s">
        <v>261</v>
      </c>
      <c r="D21" s="25" t="s">
        <v>262</v>
      </c>
      <c r="E21" s="17">
        <v>46093</v>
      </c>
      <c r="F21" s="17">
        <v>46094</v>
      </c>
      <c r="G21" s="16" t="s">
        <v>79</v>
      </c>
      <c r="H21" s="16" t="s">
        <v>263</v>
      </c>
      <c r="I21" s="16" t="s">
        <v>172</v>
      </c>
      <c r="J21" s="16"/>
      <c r="K21" s="26">
        <f>IF(F21="",'Branding &amp; Setup'!$B$12-E21,F21-E21)</f>
        <v>1</v>
      </c>
      <c r="L21" s="27" t="str">
        <f t="shared" si="0"/>
        <v>Yes</v>
      </c>
    </row>
    <row r="22" spans="1:12" ht="25.5" x14ac:dyDescent="0.25">
      <c r="A22" s="16" t="s">
        <v>259</v>
      </c>
      <c r="B22" s="16" t="s">
        <v>260</v>
      </c>
      <c r="C22" s="16" t="s">
        <v>264</v>
      </c>
      <c r="D22" s="16" t="s">
        <v>265</v>
      </c>
      <c r="E22" s="17">
        <v>46095</v>
      </c>
      <c r="F22" s="16"/>
      <c r="G22" s="16" t="s">
        <v>243</v>
      </c>
      <c r="H22" s="16" t="s">
        <v>266</v>
      </c>
      <c r="I22" s="16" t="s">
        <v>158</v>
      </c>
      <c r="J22" s="16"/>
      <c r="K22" s="26">
        <f>IF(F22="",'Branding &amp; Setup'!$B$12-E22,F22-E22)</f>
        <v>-2</v>
      </c>
      <c r="L22" s="27" t="str">
        <f t="shared" si="0"/>
        <v>No</v>
      </c>
    </row>
    <row r="23" spans="1:12" ht="25.5" x14ac:dyDescent="0.25">
      <c r="A23" s="16" t="s">
        <v>259</v>
      </c>
      <c r="B23" s="16" t="s">
        <v>260</v>
      </c>
      <c r="C23" s="16" t="s">
        <v>267</v>
      </c>
      <c r="D23" s="25" t="s">
        <v>268</v>
      </c>
      <c r="E23" s="17">
        <v>46097</v>
      </c>
      <c r="F23" s="16"/>
      <c r="G23" s="16" t="s">
        <v>269</v>
      </c>
      <c r="H23" s="16" t="s">
        <v>266</v>
      </c>
      <c r="I23" s="16" t="s">
        <v>172</v>
      </c>
      <c r="J23" s="16"/>
      <c r="K23" s="26">
        <f>IF(F23="",'Branding &amp; Setup'!$B$12-E23,F23-E23)</f>
        <v>-4</v>
      </c>
      <c r="L23" s="27" t="str">
        <f t="shared" si="0"/>
        <v>No</v>
      </c>
    </row>
  </sheetData>
  <autoFilter ref="A8:L23" xr:uid="{00000000-0009-0000-0000-000008000000}"/>
  <mergeCells count="3">
    <mergeCell ref="A1:L1"/>
    <mergeCell ref="A2:L2"/>
    <mergeCell ref="A4:L6"/>
  </mergeCells>
  <conditionalFormatting sqref="H9:H23">
    <cfRule type="expression" dxfId="93" priority="2">
      <formula>$H9="Complete"</formula>
    </cfRule>
    <cfRule type="expression" dxfId="92" priority="3">
      <formula>$H9="In Progress"</formula>
    </cfRule>
    <cfRule type="expression" dxfId="91" priority="4">
      <formula>$H9="At Risk"</formula>
    </cfRule>
    <cfRule type="expression" dxfId="90" priority="5">
      <formula>$H9="Not Started"</formula>
    </cfRule>
  </conditionalFormatting>
  <conditionalFormatting sqref="L9:L23">
    <cfRule type="expression" dxfId="89" priority="6">
      <formula>$L9="Yes"</formula>
    </cfRule>
    <cfRule type="expression" dxfId="88" priority="7">
      <formula>$L9="No"</formula>
    </cfRule>
  </conditionalFormatting>
  <dataValidations count="2">
    <dataValidation type="list" allowBlank="1" sqref="G9:G23" xr:uid="{00000000-0002-0000-0800-000000000000}">
      <formula1>Owners</formula1>
      <formula2>0</formula2>
    </dataValidation>
    <dataValidation type="list" allowBlank="1" sqref="H9:H23" xr:uid="{00000000-0002-0000-0800-000001000000}">
      <formula1>PlanStatus</formula1>
      <formula2>0</formula2>
    </dataValidation>
  </dataValidations>
  <hyperlinks>
    <hyperlink ref="A3" r:id="rId1" location="'Start%20Here'!A1" xr:uid="{00000000-0004-0000-0800-000000000000}"/>
    <hyperlink ref="B3" r:id="rId2" location="'UAT%20Overview'!A1" xr:uid="{00000000-0004-0000-0800-000001000000}"/>
    <hyperlink ref="C3" r:id="rId3" location="'Executive%20Dashboard'!A1" xr:uid="{00000000-0004-0000-0800-000002000000}"/>
    <hyperlink ref="D3" r:id="rId4" location="'Operational%20Dashboard'!A1" xr:uid="{00000000-0004-0000-0800-000003000000}"/>
    <hyperlink ref="E3" r:id="rId5" location="'Readiness%20Checklist'!A1" xr:uid="{00000000-0004-0000-0800-000004000000}"/>
  </hyperlink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25</vt:i4>
      </vt:variant>
      <vt:variant>
        <vt:lpstr>Named Ranges</vt:lpstr>
      </vt:variant>
      <vt:variant>
        <vt:i4>30</vt:i4>
      </vt:variant>
    </vt:vector>
  </HeadingPairs>
  <TitlesOfParts>
    <vt:vector size="55" baseType="lpstr">
      <vt:lpstr>Start Here</vt:lpstr>
      <vt:lpstr>Branding &amp; Setup</vt:lpstr>
      <vt:lpstr>User Guidance</vt:lpstr>
      <vt:lpstr>UAT Overview</vt:lpstr>
      <vt:lpstr>Executive Dashboard</vt:lpstr>
      <vt:lpstr>Operational Dashboard</vt:lpstr>
      <vt:lpstr>Defect &amp; Quality</vt:lpstr>
      <vt:lpstr>Readiness Dashboard</vt:lpstr>
      <vt:lpstr>UAT Plan</vt:lpstr>
      <vt:lpstr>Scope Register</vt:lpstr>
      <vt:lpstr>Tester Register</vt:lpstr>
      <vt:lpstr>Env Access &amp; Data</vt:lpstr>
      <vt:lpstr>Readiness Checklist</vt:lpstr>
      <vt:lpstr>Scenario Register</vt:lpstr>
      <vt:lpstr>Execution Tracker</vt:lpstr>
      <vt:lpstr>Defect Log</vt:lpstr>
      <vt:lpstr>Issue Log</vt:lpstr>
      <vt:lpstr>Risk &amp; Assumptions</vt:lpstr>
      <vt:lpstr>Decision Log</vt:lpstr>
      <vt:lpstr>Status Report Input</vt:lpstr>
      <vt:lpstr>Exit &amp; Sign-Off</vt:lpstr>
      <vt:lpstr>Lessons Learned</vt:lpstr>
      <vt:lpstr>About &amp; Attribution</vt:lpstr>
      <vt:lpstr>Lists</vt:lpstr>
      <vt:lpstr>Dashboard Data</vt:lpstr>
      <vt:lpstr>ActionPriority</vt:lpstr>
      <vt:lpstr>AssignedTeams</vt:lpstr>
      <vt:lpstr>BusinessAreas</vt:lpstr>
      <vt:lpstr>ConfidenceStatus</vt:lpstr>
      <vt:lpstr>DecisionStatus</vt:lpstr>
      <vt:lpstr>DefectPriority</vt:lpstr>
      <vt:lpstr>DefectSeverity</vt:lpstr>
      <vt:lpstr>DefectStatus</vt:lpstr>
      <vt:lpstr>DesignStatus</vt:lpstr>
      <vt:lpstr>EnvCategories</vt:lpstr>
      <vt:lpstr>ExecutionStatus</vt:lpstr>
      <vt:lpstr>Forums</vt:lpstr>
      <vt:lpstr>IssueCategories</vt:lpstr>
      <vt:lpstr>IssueStatus</vt:lpstr>
      <vt:lpstr>Owners</vt:lpstr>
      <vt:lpstr>PlanStatus</vt:lpstr>
      <vt:lpstr>ReadinessCategories</vt:lpstr>
      <vt:lpstr>ReadinessStatus</vt:lpstr>
      <vt:lpstr>RetestStatus</vt:lpstr>
      <vt:lpstr>RiskRating</vt:lpstr>
      <vt:lpstr>RiskStatus</vt:lpstr>
      <vt:lpstr>RiskType</vt:lpstr>
      <vt:lpstr>Roles</vt:lpstr>
      <vt:lpstr>RootCauses</vt:lpstr>
      <vt:lpstr>ScenarioPriority</vt:lpstr>
      <vt:lpstr>ScopeType</vt:lpstr>
      <vt:lpstr>SimpleProgress</vt:lpstr>
      <vt:lpstr>TesterTypes</vt:lpstr>
      <vt:lpstr>Waves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Martin Lippe</cp:lastModifiedBy>
  <dcterms:modified xsi:type="dcterms:W3CDTF">2026-03-12T11:43:14Z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2026-03-12T09:52:57Z</dcterms:created>
  <dc:creator>openpyxl</dc:creator>
  <dc:description/>
  <dc:language>en-US</dc:language>
  <cp:lastModifiedBy/>
  <dcterms:modified xsi:type="dcterms:W3CDTF">2026-03-12T10:33:31Z</dcterms:modified>
  <cp:revision>0</cp:revision>
  <dc:subject/>
  <dc:title/>
</cp:coreProperties>
</file>